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1.xml" ContentType="application/vnd.openxmlformats-officedocument.drawing+xml"/>
  <Override PartName="/xl/comments1.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xr:revisionPtr revIDLastSave="0" documentId="13_ncr:1_{5A892A5C-9064-4916-8AF2-F52BFF8BC6C7}" xr6:coauthVersionLast="36" xr6:coauthVersionMax="36" xr10:uidLastSave="{00000000-0000-0000-0000-000000000000}"/>
  <bookViews>
    <workbookView xWindow="0" yWindow="0" windowWidth="20496" windowHeight="7764" tabRatio="889" xr2:uid="{00000000-000D-0000-FFFF-FFFF00000000}"/>
  </bookViews>
  <sheets>
    <sheet name="Notes to Users" sheetId="27" r:id="rId1"/>
    <sheet name="INPUT SHEETS &gt;&gt;&gt;" sheetId="30" r:id="rId2"/>
    <sheet name="0.Basic Project Data" sheetId="16" r:id="rId3"/>
    <sheet name="I.Strategic Suitability" sheetId="7" r:id="rId4"/>
    <sheet name="II.Preliminary Feasibility" sheetId="9" r:id="rId5"/>
    <sheet name="III.Risk Assessment" sheetId="23" r:id="rId6"/>
    <sheet name="IV.PPP Suitability" sheetId="24" r:id="rId7"/>
    <sheet name="V.Fiscal Affordability" sheetId="11" r:id="rId8"/>
    <sheet name="VI.Institutional Capability" sheetId="12" r:id="rId9"/>
    <sheet name="OUTPUTS &gt;&gt;&gt;" sheetId="29" r:id="rId10"/>
    <sheet name="Dashboard" sheetId="3" r:id="rId11"/>
    <sheet name="Detailed Output Sheet" sheetId="28" r:id="rId12"/>
    <sheet name="Customization &gt;&gt;&gt;" sheetId="31" r:id="rId13"/>
    <sheet name="Admin" sheetId="2" state="veryHidden" r:id="rId14"/>
    <sheet name="Data Analysis" sheetId="6" state="veryHidden" r:id="rId15"/>
    <sheet name="Comments" sheetId="22" state="veryHidden" r:id="rId16"/>
    <sheet name="Questions" sheetId="17" state="very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2" hidden="1">'0.Basic Project Data'!$C$17:$H$44</definedName>
    <definedName name="Ability1" localSheetId="6">'IV.PPP Suitability'!$AN$69</definedName>
    <definedName name="Ability1">'III.Risk Assessment'!$AJ$134</definedName>
    <definedName name="Ability2" localSheetId="6">'IV.PPP Suitability'!$AN$72</definedName>
    <definedName name="Ability2">'IV.PPP Suitability'!$AA$157</definedName>
    <definedName name="Ability3" localSheetId="6">'IV.PPP Suitability'!#REF!</definedName>
    <definedName name="Ability3">'IV.PPP Suitability'!$AA$162</definedName>
    <definedName name="abilitya">'IV.PPP Suitability'!$B$31</definedName>
    <definedName name="abilityb">'IV.PPP Suitability'!$B$38</definedName>
    <definedName name="abilityc">'IV.PPP Suitability'!$B$43</definedName>
    <definedName name="ActualsThrough">[1]GuarActuals!$D$4</definedName>
    <definedName name="Addtl_Pledge_PostComp_Score" localSheetId="15">#REF!</definedName>
    <definedName name="Addtl_Pledge_PostComp_Score" localSheetId="6">#REF!</definedName>
    <definedName name="Addtl_Pledge_PostComp_Score">#REF!</definedName>
    <definedName name="Addtl_Pledge_PreComp_Score" localSheetId="15">#REF!</definedName>
    <definedName name="Addtl_Pledge_PreComp_Score" localSheetId="6">#REF!</definedName>
    <definedName name="Addtl_Pledge_PreComp_Score">#REF!</definedName>
    <definedName name="Admin">Admin!$A$1</definedName>
    <definedName name="Affordabilitb">'V.Fiscal Affordability'!$B$39</definedName>
    <definedName name="affordability">'V.Fiscal Affordability'!$B$1</definedName>
    <definedName name="Affordability1">'V.Fiscal Affordability'!$BE$51</definedName>
    <definedName name="Affordability2">'V.Fiscal Affordability'!$BE$53</definedName>
    <definedName name="Affordabilitya">'V.Fiscal Affordability'!$B$33</definedName>
    <definedName name="Amortization_Schedule_2" localSheetId="15">#REF!</definedName>
    <definedName name="Amortization_Schedule_2" localSheetId="6">#REF!</definedName>
    <definedName name="Amortization_Schedule_2">#REF!</definedName>
    <definedName name="ancillaryincome" localSheetId="15">#REF!</definedName>
    <definedName name="ancillaryincome" localSheetId="6">#REF!</definedName>
    <definedName name="ancillaryincome">#REF!</definedName>
    <definedName name="App_Number" localSheetId="15">[2]dropdown!#REF!</definedName>
    <definedName name="App_Number" localSheetId="6">[2]dropdown!#REF!</definedName>
    <definedName name="App_Number">[2]dropdown!#REF!</definedName>
    <definedName name="APW">Admin!$A$3</definedName>
    <definedName name="AR">'Data Analysis'!$F$10</definedName>
    <definedName name="Basic_User_Input">'0.Basic Project Data'!$A$6</definedName>
    <definedName name="blank" localSheetId="15" hidden="1">{"Existing Units Schedule",#N/A,TRUE,"Existing Units"}</definedName>
    <definedName name="blank" hidden="1">{"Existing Units Schedule",#N/A,TRUE,"Existing Units"}</definedName>
    <definedName name="Capital_Structure_Score" localSheetId="15">#REF!</definedName>
    <definedName name="Capital_Structure_Score" localSheetId="6">#REF!</definedName>
    <definedName name="Capital_Structure_Score">#REF!</definedName>
    <definedName name="client">[3]VA_Model!$B$5</definedName>
    <definedName name="Collateral_Type" localSheetId="15">#REF!</definedName>
    <definedName name="Collateral_Type" localSheetId="6">#REF!</definedName>
    <definedName name="Collateral_Type">#REF!</definedName>
    <definedName name="commercial" localSheetId="15">#REF!</definedName>
    <definedName name="commercial" localSheetId="6">#REF!</definedName>
    <definedName name="commercial">#REF!</definedName>
    <definedName name="Contract_Found_PostComp_Score" localSheetId="15">#REF!</definedName>
    <definedName name="Contract_Found_PostComp_Score" localSheetId="6">#REF!</definedName>
    <definedName name="Contract_Found_PostComp_Score">#REF!</definedName>
    <definedName name="Contract_Found_PreComp_Score" localSheetId="15">#REF!</definedName>
    <definedName name="Contract_Found_PreComp_Score" localSheetId="6">#REF!</definedName>
    <definedName name="Contract_Found_PreComp_Score">#REF!</definedName>
    <definedName name="Counterparty_Score" localSheetId="15">#REF!</definedName>
    <definedName name="Counterparty_Score" localSheetId="6">#REF!</definedName>
    <definedName name="Counterparty_Score">#REF!</definedName>
    <definedName name="CR">'Data Analysis'!$L$10</definedName>
    <definedName name="crap" localSheetId="15" hidden="1">{"Existing Units Schedule",#N/A,TRUE,"Existing Units"}</definedName>
    <definedName name="crap" hidden="1">{"Existing Units Schedule",#N/A,TRUE,"Existing Units"}</definedName>
    <definedName name="Dashboard">Dashboard!$A$1</definedName>
    <definedName name="DefaultAssumptions">'[4]Default Data'!$A$2:$Y$48</definedName>
    <definedName name="Delay_Risk_Score" localSheetId="15">#REF!</definedName>
    <definedName name="Delay_Risk_Score" localSheetId="6">#REF!</definedName>
    <definedName name="Delay_Risk_Score">#REF!</definedName>
    <definedName name="DSCR">'0.Basic Project Data'!$AJ$88</definedName>
    <definedName name="DSCR2">'0.Basic Project Data'!$AR$51</definedName>
    <definedName name="econhist1_al" localSheetId="15">'[5]Inputs - AL'!#REF!</definedName>
    <definedName name="econhist1_al" localSheetId="6">'[5]Inputs - AL'!#REF!</definedName>
    <definedName name="econhist1_al">'[5]Inputs - AL'!#REF!</definedName>
    <definedName name="econhist1_gl" localSheetId="15">'[5]Inputs - GL'!#REF!</definedName>
    <definedName name="econhist1_gl" localSheetId="6">'[5]Inputs - GL'!#REF!</definedName>
    <definedName name="econhist1_gl">'[5]Inputs - GL'!#REF!</definedName>
    <definedName name="econhist1_ls" localSheetId="15">'[5]Inputs - LS'!#REF!</definedName>
    <definedName name="econhist1_ls" localSheetId="6">'[5]Inputs - LS'!#REF!</definedName>
    <definedName name="econhist1_ls">'[5]Inputs - LS'!#REF!</definedName>
    <definedName name="econhist1_vl" localSheetId="15">'[5]Inputs - VL'!#REF!</definedName>
    <definedName name="econhist1_vl" localSheetId="6">'[5]Inputs - VL'!#REF!</definedName>
    <definedName name="econhist1_vl">'[5]Inputs - VL'!#REF!</definedName>
    <definedName name="EIRR">'0.Basic Project Data'!$AU$48</definedName>
    <definedName name="EN_CC">'0.Basic Project Data'!$AB$51</definedName>
    <definedName name="EN_SS">'II.Preliminary Feasibility'!$AY$124</definedName>
    <definedName name="erasp" localSheetId="15" hidden="1">{"Existing Units Schedule",#N/A,TRUE,"Existing Units"}</definedName>
    <definedName name="erasp" hidden="1">{"Existing Units Schedule",#N/A,TRUE,"Existing Units"}</definedName>
    <definedName name="Feasibility1">'II.Preliminary Feasibility'!$AY$102</definedName>
    <definedName name="Feasibility2">'II.Preliminary Feasibility'!$AY$111</definedName>
    <definedName name="Feasibility3">'II.Preliminary Feasibility'!$AY$116</definedName>
    <definedName name="Feasibility4">'II.Preliminary Feasibility'!$AZ$118</definedName>
    <definedName name="Feasibility5">'II.Preliminary Feasibility'!$AY$120</definedName>
    <definedName name="Feasibility6">'II.Preliminary Feasibility'!$AY$123</definedName>
    <definedName name="Feasibilitya">'II.Preliminary Feasibility'!$B$33</definedName>
    <definedName name="Feasibilityb">'II.Preliminary Feasibility'!$B$42</definedName>
    <definedName name="Feasibilityc">'II.Preliminary Feasibility'!$B$50</definedName>
    <definedName name="Feasibilityd">'II.Preliminary Feasibility'!$B$59</definedName>
    <definedName name="Feasibilitye">'II.Preliminary Feasibility'!$B$64</definedName>
    <definedName name="Feasibilityf">'II.Preliminary Feasibility'!$B$75</definedName>
    <definedName name="ffg" localSheetId="15" hidden="1">{"Existing Units Schedule",#N/A,TRUE,"Existing Units"}</definedName>
    <definedName name="ffg" hidden="1">{"Existing Units Schedule",#N/A,TRUE,"Existing Units"}</definedName>
    <definedName name="fgf" localSheetId="15" hidden="1">{"Existing Units Schedule",#N/A,TRUE,"Existing Units"}</definedName>
    <definedName name="fgf" hidden="1">{"Existing Units Schedule",#N/A,TRUE,"Existing Units"}</definedName>
    <definedName name="Force_Majeure_Score" localSheetId="15">#REF!</definedName>
    <definedName name="Force_Majeure_Score" localSheetId="6">#REF!</definedName>
    <definedName name="Force_Majeure_Score">#REF!</definedName>
    <definedName name="Forex">'0.Basic Project Data'!$O$50</definedName>
    <definedName name="Funding_Score" localSheetId="15">#REF!</definedName>
    <definedName name="Funding_Score" localSheetId="6">#REF!</definedName>
    <definedName name="Funding_Score">#REF!</definedName>
    <definedName name="gfg" localSheetId="15" hidden="1">{"Existing Units Schedule",#N/A,TRUE,"Existing Units"}</definedName>
    <definedName name="gfg" hidden="1">{"Existing Units Schedule",#N/A,TRUE,"Existing Units"}</definedName>
    <definedName name="ggfg" localSheetId="15" hidden="1">{"Existing Units Schedule",#N/A,TRUE,"Existing Units"}</definedName>
    <definedName name="ggfg" hidden="1">{"Existing Units Schedule",#N/A,TRUE,"Existing Units"}</definedName>
    <definedName name="ggggg" localSheetId="15" hidden="1">{"Existing Units Schedule",#N/A,TRUE,"Existing Units"}</definedName>
    <definedName name="ggggg" hidden="1">{"Existing Units Schedule",#N/A,TRUE,"Existing Units"}</definedName>
    <definedName name="ggh" localSheetId="15" hidden="1">{"Existing Units Schedule",#N/A,TRUE,"Existing Units"}</definedName>
    <definedName name="ggh" hidden="1">{"Existing Units Schedule",#N/A,TRUE,"Existing Units"}</definedName>
    <definedName name="ghg" localSheetId="15" hidden="1">{"Existing Units Schedule",#N/A,TRUE,"Existing Units"}</definedName>
    <definedName name="ghg" hidden="1">{"Existing Units Schedule",#N/A,TRUE,"Existing Units"}</definedName>
    <definedName name="Govt.Support">'0.Basic Project Data'!$O$24</definedName>
    <definedName name="hgj" localSheetId="15" hidden="1">{"Existing Units Schedule",#N/A,TRUE,"Existing Units"}</definedName>
    <definedName name="hgj" hidden="1">{"Existing Units Schedule",#N/A,TRUE,"Existing Units"}</definedName>
    <definedName name="hhgj" localSheetId="15" hidden="1">{"Existing Units Schedule",#N/A,TRUE,"Existing Units"}</definedName>
    <definedName name="hhgj" hidden="1">{"Existing Units Schedule",#N/A,TRUE,"Existing Units"}</definedName>
    <definedName name="hhhhh" localSheetId="15" hidden="1">{"Existing Units Schedule",#N/A,TRUE,"Existing Units"}</definedName>
    <definedName name="hhhhh" hidden="1">{"Existing Units Schedule",#N/A,TRUE,"Existing Units"}</definedName>
    <definedName name="income">[3]VA_Model!$I$22</definedName>
    <definedName name="inflowproj1_gl" localSheetId="15">'[5]Inputs - GL'!#REF!</definedName>
    <definedName name="inflowproj1_gl" localSheetId="6">'[5]Inputs - GL'!#REF!</definedName>
    <definedName name="inflowproj1_gl">'[5]Inputs - GL'!#REF!</definedName>
    <definedName name="Infrastructure_Score" localSheetId="15">#REF!</definedName>
    <definedName name="Infrastructure_Score" localSheetId="6">#REF!</definedName>
    <definedName name="Infrastructure_Score">#REF!</definedName>
    <definedName name="Institutional1">'VI.Institutional Capability'!$AT$63</definedName>
    <definedName name="Institutional2">'VI.Institutional Capability'!$AT$64</definedName>
    <definedName name="Institutional3">'VI.Institutional Capability'!$AT$65</definedName>
    <definedName name="Institutionala">'VI.Institutional Capability'!$B$29</definedName>
    <definedName name="InstitutionalAbilityb">'VI.Institutional Capability'!$B$35</definedName>
    <definedName name="Institutionalb">'VI.Institutional Capability'!$B$35</definedName>
    <definedName name="Institutionalc">'VI.Institutional Capability'!$B$42</definedName>
    <definedName name="Interest_Supplement_Payments" localSheetId="15">'[6]Expected Cash Flow'!#REF!</definedName>
    <definedName name="Interest_Supplement_Payments" localSheetId="6">'[6]Expected Cash Flow'!#REF!</definedName>
    <definedName name="Interest_Supplement_Payments">'[6]Expected Cash Flow'!#REF!</definedName>
    <definedName name="IntGuar">'[4]Lookup Ranges'!$L$18</definedName>
    <definedName name="jjjjj" localSheetId="15" hidden="1">{"Existing Units Schedule",#N/A,TRUE,"Existing Units"}</definedName>
    <definedName name="jjjjj" hidden="1">{"Existing Units Schedule",#N/A,TRUE,"Existing Units"}</definedName>
    <definedName name="kkkkk" localSheetId="15" hidden="1">{"Existing Units Schedule",#N/A,TRUE,"Existing Units"}</definedName>
    <definedName name="kkkkk" hidden="1">{"Existing Units Schedule",#N/A,TRUE,"Existing Units"}</definedName>
    <definedName name="kuy" localSheetId="15" hidden="1">{"Existing Units Schedule",#N/A,TRUE,"Existing Units"}</definedName>
    <definedName name="kuy" hidden="1">{"Existing Units Schedule",#N/A,TRUE,"Existing Units"}</definedName>
    <definedName name="LandList">#REF!</definedName>
    <definedName name="Landstatus">'0.Basic Project Data'!$O$29</definedName>
    <definedName name="laundry">[3]VA_Model!$I$25</definedName>
    <definedName name="Legal_Risk_Score" localSheetId="15">#REF!</definedName>
    <definedName name="Legal_Risk_Score" localSheetId="6">#REF!</definedName>
    <definedName name="Legal_Risk_Score">#REF!</definedName>
    <definedName name="Level5">Admin!$A$37</definedName>
    <definedName name="Level6">Admin!$A$41</definedName>
    <definedName name="lllll" localSheetId="15" hidden="1">{"Existing Units Schedule",#N/A,TRUE,"Existing Units"}</definedName>
    <definedName name="lllll" hidden="1">{"Existing Units Schedule",#N/A,TRUE,"Existing Units"}</definedName>
    <definedName name="loanorigproj2_ls" localSheetId="15">'[5]Inputs - LS'!#REF!</definedName>
    <definedName name="loanorigproj2_ls" localSheetId="6">'[5]Inputs - LS'!#REF!</definedName>
    <definedName name="loanorigproj2_ls">'[5]Inputs - LS'!#REF!</definedName>
    <definedName name="loanorigproj3_ls" localSheetId="15">'[5]Inputs - LS'!#REF!</definedName>
    <definedName name="loanorigproj3_ls" localSheetId="6">'[5]Inputs - LS'!#REF!</definedName>
    <definedName name="loanorigproj3_ls">'[5]Inputs - LS'!#REF!</definedName>
    <definedName name="loanorigproj4_ls" localSheetId="15">'[5]Inputs - LS'!#REF!</definedName>
    <definedName name="loanorigproj4_ls" localSheetId="6">'[5]Inputs - LS'!#REF!</definedName>
    <definedName name="loanorigproj4_ls">'[5]Inputs - LS'!#REF!</definedName>
    <definedName name="loanorigproj5_ls" localSheetId="15">'[5]Inputs - LS'!#REF!</definedName>
    <definedName name="loanorigproj5_ls" localSheetId="6">'[5]Inputs - LS'!#REF!</definedName>
    <definedName name="loanorigproj5_ls">'[5]Inputs - LS'!#REF!</definedName>
    <definedName name="LoanType">'[4]Lookup Ranges'!$O$30</definedName>
    <definedName name="Location" localSheetId="15">#REF!</definedName>
    <definedName name="Location" localSheetId="6">#REF!</definedName>
    <definedName name="Location">#REF!</definedName>
    <definedName name="Market_Risk_PostComp_Score" localSheetId="15">#REF!</definedName>
    <definedName name="Market_Risk_PostComp_Score" localSheetId="6">#REF!</definedName>
    <definedName name="Market_Risk_PostComp_Score">#REF!</definedName>
    <definedName name="Market_Risk_PreComp_Score" localSheetId="15">#REF!</definedName>
    <definedName name="Market_Risk_PreComp_Score" localSheetId="6">#REF!</definedName>
    <definedName name="Market_Risk_PreComp_Score">#REF!</definedName>
    <definedName name="Market_Risk_Score" localSheetId="15">#REF!</definedName>
    <definedName name="Market_Risk_Score" localSheetId="6">#REF!</definedName>
    <definedName name="Market_Risk_Score">#REF!</definedName>
    <definedName name="MAX_top_al" localSheetId="15">'[5]Inputs - AL'!#REF!</definedName>
    <definedName name="MAX_top_al" localSheetId="6">'[5]Inputs - AL'!#REF!</definedName>
    <definedName name="MAX_top_al">'[5]Inputs - AL'!#REF!</definedName>
    <definedName name="MAX_top_gl" localSheetId="15">'[5]Inputs - GL'!#REF!</definedName>
    <definedName name="MAX_top_gl" localSheetId="6">'[5]Inputs - GL'!#REF!</definedName>
    <definedName name="MAX_top_gl">'[5]Inputs - GL'!#REF!</definedName>
    <definedName name="MAX_top_ls" localSheetId="15">'[5]Inputs - LS'!#REF!</definedName>
    <definedName name="MAX_top_ls" localSheetId="6">'[5]Inputs - LS'!#REF!</definedName>
    <definedName name="MAX_top_ls">'[5]Inputs - LS'!#REF!</definedName>
    <definedName name="MAX_top_vl" localSheetId="15">'[5]Inputs - VL'!#REF!</definedName>
    <definedName name="MAX_top_vl" localSheetId="6">'[5]Inputs - VL'!#REF!</definedName>
    <definedName name="MAX_top_vl">'[5]Inputs - VL'!#REF!</definedName>
    <definedName name="MAX_yr_AL" localSheetId="15">'[5]Inputs - AL'!#REF!</definedName>
    <definedName name="MAX_yr_AL" localSheetId="6">'[5]Inputs - AL'!#REF!</definedName>
    <definedName name="MAX_yr_AL">'[5]Inputs - AL'!#REF!</definedName>
    <definedName name="MAX_yr_GL" localSheetId="15">'[5]Inputs - GL'!#REF!</definedName>
    <definedName name="MAX_yr_GL" localSheetId="6">'[5]Inputs - GL'!#REF!</definedName>
    <definedName name="MAX_yr_GL">'[5]Inputs - GL'!#REF!</definedName>
    <definedName name="MAX_yr_LS" localSheetId="15">'[5]Inputs - LS'!#REF!</definedName>
    <definedName name="MAX_yr_LS" localSheetId="6">'[5]Inputs - LS'!#REF!</definedName>
    <definedName name="MAX_yr_LS">'[5]Inputs - LS'!#REF!</definedName>
    <definedName name="MAX_yr_VL" localSheetId="15">'[5]Inputs - VL'!#REF!</definedName>
    <definedName name="MAX_yr_VL" localSheetId="6">'[5]Inputs - VL'!#REF!</definedName>
    <definedName name="MAX_yr_VL">'[5]Inputs - VL'!#REF!</definedName>
    <definedName name="MAX1_gl" localSheetId="15">'[5]Inputs - GL'!#REF!</definedName>
    <definedName name="MAX1_gl" localSheetId="6">'[5]Inputs - GL'!#REF!</definedName>
    <definedName name="MAX1_gl">'[5]Inputs - GL'!#REF!</definedName>
    <definedName name="MAX2_gl" localSheetId="15">'[5]Inputs - GL'!#REF!</definedName>
    <definedName name="MAX2_gl" localSheetId="6">'[5]Inputs - GL'!#REF!</definedName>
    <definedName name="MAX2_gl">'[5]Inputs - GL'!#REF!</definedName>
    <definedName name="MAX3_gl" localSheetId="15">'[5]Inputs - GL'!#REF!</definedName>
    <definedName name="MAX3_gl" localSheetId="6">'[5]Inputs - GL'!#REF!</definedName>
    <definedName name="MAX3_gl">'[5]Inputs - GL'!#REF!</definedName>
    <definedName name="MAX4_gl" localSheetId="15">'[5]Inputs - GL'!#REF!</definedName>
    <definedName name="MAX4_gl" localSheetId="6">'[5]Inputs - GL'!#REF!</definedName>
    <definedName name="MAX4_gl">'[5]Inputs - GL'!#REF!</definedName>
    <definedName name="miscincome">[3]VA_Model!$I$26</definedName>
    <definedName name="Month">'[4]Lookup Ranges'!$L$2:$M$13</definedName>
    <definedName name="NA">'Data Analysis'!$K$159</definedName>
    <definedName name="Name" localSheetId="15">#REF!</definedName>
    <definedName name="Name" localSheetId="6">#REF!</definedName>
    <definedName name="Name">#REF!</definedName>
    <definedName name="Negative">'Data Analysis'!$K$163</definedName>
    <definedName name="No">'Data Analysis'!$K$158</definedName>
    <definedName name="NOI">[3]VA_Model!$L$36</definedName>
    <definedName name="none" localSheetId="15" hidden="1">{"Existing Units Schedule",#N/A,TRUE,"Existing Units"}</definedName>
    <definedName name="none" hidden="1">{"Existing Units Schedule",#N/A,TRUE,"Existing Units"}</definedName>
    <definedName name="Ops_Risk_PostComp_Score" localSheetId="15">#REF!</definedName>
    <definedName name="Ops_Risk_PostComp_Score" localSheetId="6">#REF!</definedName>
    <definedName name="Ops_Risk_PostComp_Score">#REF!</definedName>
    <definedName name="Ops_Risk_PreComp_Score" localSheetId="15">#REF!</definedName>
    <definedName name="Ops_Risk_PreComp_Score" localSheetId="6">#REF!</definedName>
    <definedName name="Ops_Risk_PreComp_Score">#REF!</definedName>
    <definedName name="OpsCost_Performance_Score" localSheetId="15">#REF!</definedName>
    <definedName name="OpsCost_Performance_Score" localSheetId="6">#REF!</definedName>
    <definedName name="OpsCost_Performance_Score">#REF!</definedName>
    <definedName name="Other_PostComp_Score" localSheetId="15">#REF!</definedName>
    <definedName name="Other_PostComp_Score" localSheetId="6">#REF!</definedName>
    <definedName name="Other_PostComp_Score">#REF!</definedName>
    <definedName name="Other_PreComp_Score" localSheetId="15">#REF!</definedName>
    <definedName name="Other_PreComp_Score" localSheetId="6">#REF!</definedName>
    <definedName name="Other_PreComp_Score">#REF!</definedName>
    <definedName name="otherincome" localSheetId="15">#REF!</definedName>
    <definedName name="otherincome" localSheetId="6">#REF!</definedName>
    <definedName name="otherincome">#REF!</definedName>
    <definedName name="otheroutflow" localSheetId="15">'[7]Inputs - Formulation'!#REF!</definedName>
    <definedName name="otheroutflow" localSheetId="6">'[7]Inputs - Formulation'!#REF!</definedName>
    <definedName name="otheroutflow">'[7]Inputs - Formulation'!#REF!</definedName>
    <definedName name="Outflow_Sel" localSheetId="15">'[6]Input Sheet'!#REF!</definedName>
    <definedName name="Outflow_Sel" localSheetId="6">'[6]Input Sheet'!#REF!</definedName>
    <definedName name="Outflow_Sel">'[6]Input Sheet'!#REF!</definedName>
    <definedName name="Outflows_Other" localSheetId="15">'[6]Input Sheet'!#REF!</definedName>
    <definedName name="Outflows_Other" localSheetId="6">'[6]Input Sheet'!#REF!</definedName>
    <definedName name="Outflows_Other">'[6]Input Sheet'!#REF!</definedName>
    <definedName name="pare" localSheetId="15" hidden="1">{"Existing Units Schedule",#N/A,TRUE,"Existing Units"}</definedName>
    <definedName name="pare" hidden="1">{"Existing Units Schedule",#N/A,TRUE,"Existing Units"}</definedName>
    <definedName name="parking">[3]VA_Model!$I$23</definedName>
    <definedName name="PD_1">'I.Strategic Suitability'!$C$36</definedName>
    <definedName name="PD_13">'II.Preliminary Feasibility'!$D$36</definedName>
    <definedName name="PD_16">'II.Preliminary Feasibility'!$D$56</definedName>
    <definedName name="PD_2">'I.Strategic Suitability'!$C$41</definedName>
    <definedName name="PD_3">'II.Preliminary Feasibility'!$D$39</definedName>
    <definedName name="PD_4">'II.Preliminary Feasibility'!$D$44</definedName>
    <definedName name="PD_5">'II.Preliminary Feasibility'!$D$53</definedName>
    <definedName name="PD_6">'II.Preliminary Feasibility'!$D$53</definedName>
    <definedName name="PD_8">'V.Fiscal Affordability'!$E$42</definedName>
    <definedName name="PDB">Admin!$O$53</definedName>
    <definedName name="PercentGuar" localSheetId="15">#REF!</definedName>
    <definedName name="PercentGuar" localSheetId="6">#REF!</definedName>
    <definedName name="PercentGuar">#REF!</definedName>
    <definedName name="PIRR">'0.Basic Project Data'!$AU$38</definedName>
    <definedName name="Political_Reg_Score" localSheetId="15">#REF!</definedName>
    <definedName name="Political_Reg_Score" localSheetId="6">#REF!</definedName>
    <definedName name="Political_Reg_Score">#REF!</definedName>
    <definedName name="Positive">'Data Analysis'!$K$162</definedName>
    <definedName name="PPD_3">'II.Preliminary Feasibility'!$D$36</definedName>
    <definedName name="PPD_4">'II.Preliminary Feasibility'!$D$37</definedName>
    <definedName name="ppd_5">'II.Preliminary Feasibility'!$D$52</definedName>
    <definedName name="ppd_6">'II.Preliminary Feasibility'!$D$80</definedName>
    <definedName name="ppd_7">'III.Risk Assessment'!$D$49</definedName>
    <definedName name="PR">Admin!$O$40</definedName>
    <definedName name="pre_1">'0.Basic Project Data'!$D$18</definedName>
    <definedName name="pre_2">'0.Basic Project Data'!$D$19</definedName>
    <definedName name="pre_3">'0.Basic Project Data'!$D$20</definedName>
    <definedName name="Prelim">[8]dropdown!$C$29:$C$32</definedName>
    <definedName name="Prerequisites">'0.Basic Project Data'!$O$17</definedName>
    <definedName name="_xlnm.Print_Area" localSheetId="10">Dashboard!$A$1:$AE$129</definedName>
    <definedName name="Project_Completion_Score" localSheetId="15">#REF!</definedName>
    <definedName name="Project_Completion_Score" localSheetId="6">#REF!</definedName>
    <definedName name="Project_Completion_Score">#REF!</definedName>
    <definedName name="Project_Profile">'0.Basic Project Data'!$O$10</definedName>
    <definedName name="Project_Sponsor_Score" localSheetId="15">#REF!</definedName>
    <definedName name="Project_Sponsor_Score" localSheetId="6">#REF!</definedName>
    <definedName name="Project_Sponsor_Score">#REF!</definedName>
    <definedName name="purchaseprice" localSheetId="15">[3]VA_Model!#REF!</definedName>
    <definedName name="purchaseprice" localSheetId="6">[3]VA_Model!#REF!</definedName>
    <definedName name="purchaseprice">[3]VA_Model!#REF!</definedName>
    <definedName name="Rating">'[4]Lookup Ranges'!$J$5</definedName>
    <definedName name="Recovery">'[4]Recovery Data'!$A$7:$C$33</definedName>
    <definedName name="recoverycurves" localSheetId="15">'[7]Inputs - Formulation'!#REF!</definedName>
    <definedName name="recoverycurves" localSheetId="6">'[7]Inputs - Formulation'!#REF!</definedName>
    <definedName name="recoverycurves">'[7]Inputs - Formulation'!#REF!</definedName>
    <definedName name="RecoveryRate" localSheetId="15">#REF!</definedName>
    <definedName name="RecoveryRate" localSheetId="6">#REF!</definedName>
    <definedName name="RecoveryRate">#REF!</definedName>
    <definedName name="Reg_Risk_PostComp_Score" localSheetId="15">#REF!</definedName>
    <definedName name="Reg_Risk_PostComp_Score" localSheetId="6">#REF!</definedName>
    <definedName name="Reg_Risk_PostComp_Score">#REF!</definedName>
    <definedName name="Reg_Risk_PreComp_Score" localSheetId="15">#REF!</definedName>
    <definedName name="Reg_Risk_PreComp_Score" localSheetId="6">#REF!</definedName>
    <definedName name="Reg_Risk_PreComp_Score">#REF!</definedName>
    <definedName name="rents">[3]VA_Model!$D$20</definedName>
    <definedName name="Reserves" localSheetId="15">[3]VA_Model!#REF!</definedName>
    <definedName name="Reserves" localSheetId="6">[3]VA_Model!#REF!</definedName>
    <definedName name="Reserves">[3]VA_Model!#REF!</definedName>
    <definedName name="Reset_Range_2">'[6]Input Sheet'!$E$64:$F$72,'[6]Input Sheet'!$E$76:$F$91,'[6]Input Sheet'!$L$62:$L$72,'[6]Input Sheet'!$L$78:$L$85,'[6]Input Sheet'!$L$89</definedName>
    <definedName name="Revenue_Profile">'0.Basic Project Data'!$O$21</definedName>
    <definedName name="RevenueType">'[4]Recovery Data'!$B$35</definedName>
    <definedName name="Risk1">'III.Risk Assessment'!#REF!</definedName>
    <definedName name="Risk2">'III.Risk Assessment'!$AK$144</definedName>
    <definedName name="Risk3">'III.Risk Assessment'!$AK$155</definedName>
    <definedName name="Risk4">'III.Risk Assessment'!$AK$157</definedName>
    <definedName name="Risk5">'III.Risk Assessment'!$AK$159</definedName>
    <definedName name="risk6">'III.Risk Assessment'!$AK$161</definedName>
    <definedName name="Risk7">'III.Risk Assessment'!$AK$163</definedName>
    <definedName name="Risk8">'III.Risk Assessment'!$AK$165</definedName>
    <definedName name="Riska">'III.Risk Assessment'!$B$38</definedName>
    <definedName name="Riskb">'III.Risk Assessment'!$B$47</definedName>
    <definedName name="Riskc">'III.Risk Assessment'!$B$53</definedName>
    <definedName name="Riskd">'III.Risk Assessment'!$B$61</definedName>
    <definedName name="Riske">'III.Risk Assessment'!$B$66</definedName>
    <definedName name="Riskf">'III.Risk Assessment'!$B$74</definedName>
    <definedName name="Riskg">'III.Risk Assessment'!$B$80</definedName>
    <definedName name="Riskh">'III.Risk Assessment'!$B$85</definedName>
    <definedName name="saleshist_vl" localSheetId="15">'[5]Inputs - VL'!#REF!</definedName>
    <definedName name="saleshist_vl" localSheetId="6">'[5]Inputs - VL'!#REF!</definedName>
    <definedName name="saleshist_vl">'[5]Inputs - VL'!#REF!</definedName>
    <definedName name="saleshist1_vl" localSheetId="15">'[5]Inputs - VL'!#REF!</definedName>
    <definedName name="saleshist1_vl" localSheetId="6">'[5]Inputs - VL'!#REF!</definedName>
    <definedName name="saleshist1_vl">'[5]Inputs - VL'!#REF!</definedName>
    <definedName name="Scenario_Number" localSheetId="15">#REF!</definedName>
    <definedName name="Scenario_Number" localSheetId="6">#REF!</definedName>
    <definedName name="Scenario_Number">#REF!</definedName>
    <definedName name="Scenario_Number_Construct" localSheetId="15">#REF!</definedName>
    <definedName name="Scenario_Number_Construct" localSheetId="6">#REF!</definedName>
    <definedName name="Scenario_Number_Construct">#REF!</definedName>
    <definedName name="Scenario_Number_Tolls" localSheetId="15">#REF!</definedName>
    <definedName name="Scenario_Number_Tolls" localSheetId="6">#REF!</definedName>
    <definedName name="Scenario_Number_Tolls">#REF!</definedName>
    <definedName name="Scoring">[8]dropdown!$C$17:$C$25</definedName>
    <definedName name="Scoring_logic" localSheetId="6">'Data Analysis'!#REF!</definedName>
    <definedName name="Scoring_logic">'Data Analysis'!#REF!</definedName>
    <definedName name="SeniorRecovery">'[4]Recovery Data'!$B$7:$B$33</definedName>
    <definedName name="SF" localSheetId="15">#REF!</definedName>
    <definedName name="SF" localSheetId="6">#REF!</definedName>
    <definedName name="SF">#REF!</definedName>
    <definedName name="Skip">'Data Analysis'!$K$160</definedName>
    <definedName name="spare" localSheetId="15" hidden="1">{"Existing Units Schedule",#N/A,TRUE,"Existing Units"}</definedName>
    <definedName name="spare" hidden="1">{"Existing Units Schedule",#N/A,TRUE,"Existing Units"}</definedName>
    <definedName name="STATUS" localSheetId="15">#REF!</definedName>
    <definedName name="STATUS" localSheetId="6">#REF!</definedName>
    <definedName name="STATUS">#REF!</definedName>
    <definedName name="SubordRecovery">'[4]Recovery Data'!$C$7:$C$33</definedName>
    <definedName name="Suitability1">'I.Strategic Suitability'!$AN$91</definedName>
    <definedName name="Suitability2">'I.Strategic Suitability'!$AN$104</definedName>
    <definedName name="Suitability3">'I.Strategic Suitability'!$AN$115</definedName>
    <definedName name="Suitability4">'I.Strategic Suitability'!$AN$118</definedName>
    <definedName name="SuitabilityA" localSheetId="15">'[9]1.Suitability'!$C$19</definedName>
    <definedName name="SuitabilityA">'I.Strategic Suitability'!$C$29</definedName>
    <definedName name="SuitabilityB" localSheetId="15">'[9]1.Suitability'!$C$23</definedName>
    <definedName name="SuitabilityB">'I.Strategic Suitability'!$C$35</definedName>
    <definedName name="SuitabilityC" localSheetId="15">'[9]1.Suitability'!$C$27</definedName>
    <definedName name="SuitabilityC">'I.Strategic Suitability'!$C$40</definedName>
    <definedName name="SuitabilityD" localSheetId="15">'[9]1.Suitability'!$C$30</definedName>
    <definedName name="SuitabilityD">'I.Strategic Suitability'!$C$44</definedName>
    <definedName name="sun" localSheetId="15" hidden="1">{"Existing Units Schedule",#N/A,TRUE,"Existing Units"}</definedName>
    <definedName name="sun" hidden="1">{"Existing Units Schedule",#N/A,TRUE,"Existing Units"}</definedName>
    <definedName name="sunn" localSheetId="15" hidden="1">{"Existing Units Schedule",#N/A,TRUE,"Existing Units"}</definedName>
    <definedName name="sunn" hidden="1">{"Existing Units Schedule",#N/A,TRUE,"Existing Units"}</definedName>
    <definedName name="sunnn" localSheetId="15" hidden="1">{"Existing Units Schedule",#N/A,TRUE,"Existing Units"}</definedName>
    <definedName name="sunnn" hidden="1">{"Existing Units Schedule",#N/A,TRUE,"Existing Units"}</definedName>
    <definedName name="Tech_Risk_PostComp_Score" localSheetId="15">#REF!</definedName>
    <definedName name="Tech_Risk_PostComp_Score" localSheetId="6">#REF!</definedName>
    <definedName name="Tech_Risk_PostComp_Score">#REF!</definedName>
    <definedName name="Tech_Risk_PreComp_Score" localSheetId="15">#REF!</definedName>
    <definedName name="Tech_Risk_PreComp_Score" localSheetId="6">#REF!</definedName>
    <definedName name="Tech_Risk_PreComp_Score">#REF!</definedName>
    <definedName name="Technology_Score" localSheetId="15">#REF!</definedName>
    <definedName name="Technology_Score" localSheetId="6">#REF!</definedName>
    <definedName name="Technology_Score">#REF!</definedName>
    <definedName name="Template" localSheetId="6">'Data Analysis'!#REF!</definedName>
    <definedName name="Template">'Data Analysis'!#REF!</definedName>
    <definedName name="Tes" localSheetId="15">#REF!</definedName>
    <definedName name="Tes" localSheetId="6">#REF!</definedName>
    <definedName name="Tes">#REF!</definedName>
    <definedName name="uky" localSheetId="15" hidden="1">{"Existing Units Schedule",#N/A,TRUE,"Existing Units"}</definedName>
    <definedName name="uky" hidden="1">{"Existing Units Schedule",#N/A,TRUE,"Existing Units"}</definedName>
    <definedName name="Uncertain">'Data Analysis'!$K$161</definedName>
    <definedName name="units">[3]VA_Model!$C$22</definedName>
    <definedName name="uyk" localSheetId="15" hidden="1">{"Existing Units Schedule",#N/A,TRUE,"Existing Units"}</definedName>
    <definedName name="uyk" hidden="1">{"Existing Units Schedule",#N/A,TRUE,"Existing Units"}</definedName>
    <definedName name="VBA_Reestimate_Type" localSheetId="15">[5]Main!#REF!</definedName>
    <definedName name="VBA_Reestimate_Type" localSheetId="6">[5]Main!#REF!</definedName>
    <definedName name="VBA_Reestimate_Type">[5]Main!#REF!</definedName>
    <definedName name="VFAa">'0.Basic Project Data'!$C$37</definedName>
    <definedName name="VFM">'0.Basic Project Data'!$Q$37</definedName>
    <definedName name="Yes">'Data Analysis'!$K$157</definedName>
    <definedName name="yuk" localSheetId="15" hidden="1">{"Existing Units Schedule",#N/A,TRUE,"Existing Units"}</definedName>
    <definedName name="yuk" hidden="1">{"Existing Units Schedule",#N/A,TRUE,"Existing Units"}</definedName>
  </definedNames>
  <calcPr calcId="162913" iterate="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7" l="1"/>
  <c r="D26" i="16" l="1"/>
  <c r="D27" i="16"/>
  <c r="K225" i="6" l="1"/>
  <c r="BD354" i="6" l="1"/>
  <c r="BC354" i="6"/>
  <c r="B419" i="6" l="1"/>
  <c r="L61" i="2" l="1"/>
  <c r="L60" i="2"/>
  <c r="D149" i="6" s="1"/>
  <c r="E277" i="6"/>
  <c r="F148" i="6"/>
  <c r="D150" i="6"/>
  <c r="P67" i="17"/>
  <c r="E345" i="6"/>
  <c r="T38" i="17"/>
  <c r="S40" i="17"/>
  <c r="U40" i="17"/>
  <c r="T40" i="17"/>
  <c r="V40" i="17"/>
  <c r="AF334" i="6"/>
  <c r="AE329" i="6"/>
  <c r="AF329" i="6" s="1"/>
  <c r="AE328" i="6" s="1"/>
  <c r="AF328" i="6" s="1"/>
  <c r="AE327" i="6" s="1"/>
  <c r="AF327" i="6" s="1"/>
  <c r="AF333" i="6"/>
  <c r="AE323" i="6"/>
  <c r="AE322" i="6" s="1"/>
  <c r="AF321" i="6" s="1"/>
  <c r="AH461" i="6"/>
  <c r="AK461" i="6" s="1"/>
  <c r="AH460" i="6"/>
  <c r="AK460" i="6" s="1"/>
  <c r="F329" i="6"/>
  <c r="F330" i="6"/>
  <c r="C331" i="6"/>
  <c r="F331" i="6" s="1"/>
  <c r="E328" i="6"/>
  <c r="E329" i="6"/>
  <c r="E330" i="6"/>
  <c r="E331" i="6"/>
  <c r="AF313" i="6"/>
  <c r="AE310" i="6"/>
  <c r="AF309" i="6" s="1"/>
  <c r="W342" i="6"/>
  <c r="X342" i="6" s="1"/>
  <c r="W343" i="6"/>
  <c r="X343" i="6" s="1"/>
  <c r="BB77" i="17"/>
  <c r="N77" i="17"/>
  <c r="F402" i="6"/>
  <c r="AT77" i="17"/>
  <c r="AF367" i="6"/>
  <c r="AF368" i="6" s="1"/>
  <c r="D92" i="6" s="1"/>
  <c r="E394" i="6" s="1"/>
  <c r="V77" i="17"/>
  <c r="AD77" i="17"/>
  <c r="AL77" i="17"/>
  <c r="H34" i="16"/>
  <c r="AI382" i="6" s="1"/>
  <c r="AF383" i="6"/>
  <c r="AH383" i="6" s="1"/>
  <c r="BZ77" i="17"/>
  <c r="BJ77" i="17"/>
  <c r="BK77" i="17"/>
  <c r="BR77" i="17"/>
  <c r="AF425" i="6"/>
  <c r="AF426" i="6"/>
  <c r="E260" i="6"/>
  <c r="C42" i="3" s="1"/>
  <c r="B28" i="28" s="1"/>
  <c r="E186" i="6"/>
  <c r="F186" i="6" s="1"/>
  <c r="E187" i="6"/>
  <c r="E188" i="6"/>
  <c r="C51" i="2"/>
  <c r="C49" i="2"/>
  <c r="C47" i="2"/>
  <c r="E253" i="6"/>
  <c r="E259" i="6"/>
  <c r="E261" i="6"/>
  <c r="C43" i="3" s="1"/>
  <c r="B29" i="28" s="1"/>
  <c r="C38" i="7"/>
  <c r="C284" i="6" s="1"/>
  <c r="F284" i="6" s="1"/>
  <c r="D148" i="6"/>
  <c r="C42" i="7"/>
  <c r="D53" i="28" s="1"/>
  <c r="C288" i="6"/>
  <c r="F288" i="6" s="1"/>
  <c r="C31" i="7"/>
  <c r="C279" i="6" s="1"/>
  <c r="F279" i="6" s="1"/>
  <c r="C45" i="7"/>
  <c r="C291" i="6" s="1"/>
  <c r="F150" i="6"/>
  <c r="E152" i="6"/>
  <c r="D269" i="6" s="1"/>
  <c r="D152" i="6"/>
  <c r="D268" i="6" s="1"/>
  <c r="K240" i="6"/>
  <c r="L240" i="6" s="1"/>
  <c r="K236" i="6"/>
  <c r="I26" i="2" s="1"/>
  <c r="F149" i="6"/>
  <c r="C4" i="2"/>
  <c r="C28" i="2"/>
  <c r="B34" i="22" s="1"/>
  <c r="B78" i="22" s="1"/>
  <c r="C31" i="2"/>
  <c r="E123" i="3" s="1"/>
  <c r="Z122" i="22"/>
  <c r="Y122" i="22"/>
  <c r="X122" i="22"/>
  <c r="W122" i="22"/>
  <c r="V122" i="22"/>
  <c r="U122" i="22"/>
  <c r="T122" i="22"/>
  <c r="S122" i="22"/>
  <c r="R122" i="22"/>
  <c r="Q122" i="22"/>
  <c r="L67" i="17"/>
  <c r="M67" i="17"/>
  <c r="N67" i="17"/>
  <c r="R78" i="17"/>
  <c r="S78" i="17"/>
  <c r="L26" i="17"/>
  <c r="M26" i="17"/>
  <c r="T42" i="17" s="1"/>
  <c r="N26" i="17"/>
  <c r="AX78" i="17"/>
  <c r="AY78" i="17"/>
  <c r="J77" i="17"/>
  <c r="K77" i="17"/>
  <c r="AP78" i="17"/>
  <c r="AR78" i="17"/>
  <c r="Z78" i="17"/>
  <c r="AA78" i="17"/>
  <c r="AH78" i="17"/>
  <c r="AI78" i="17"/>
  <c r="AQ78" i="17"/>
  <c r="AF395" i="6"/>
  <c r="BV78" i="17"/>
  <c r="BW78" i="17"/>
  <c r="BX78" i="17"/>
  <c r="BF78" i="17"/>
  <c r="BG78" i="17"/>
  <c r="BH78" i="17"/>
  <c r="BN78" i="17"/>
  <c r="BO78" i="17"/>
  <c r="BP78" i="17"/>
  <c r="E150" i="6"/>
  <c r="E149" i="6"/>
  <c r="E148" i="6"/>
  <c r="T267" i="6"/>
  <c r="T268" i="6"/>
  <c r="AA24" i="12" s="1"/>
  <c r="R267" i="6"/>
  <c r="O73" i="3" s="1"/>
  <c r="R268" i="6"/>
  <c r="AC23" i="24" s="1"/>
  <c r="D10" i="2"/>
  <c r="B13" i="22" s="1"/>
  <c r="C60" i="22" s="1"/>
  <c r="D11" i="2"/>
  <c r="E103" i="3" s="1"/>
  <c r="D12" i="2"/>
  <c r="B15" i="22"/>
  <c r="C62" i="22"/>
  <c r="D13" i="2"/>
  <c r="B16" i="22" s="1"/>
  <c r="C63" i="22" s="1"/>
  <c r="D14" i="2"/>
  <c r="B17" i="22" s="1"/>
  <c r="C64" i="22" s="1"/>
  <c r="D15" i="2"/>
  <c r="E107" i="3" s="1"/>
  <c r="B18" i="22"/>
  <c r="C65" i="22" s="1"/>
  <c r="E278" i="6"/>
  <c r="E279" i="6"/>
  <c r="E282" i="6"/>
  <c r="E283" i="6"/>
  <c r="E284" i="6"/>
  <c r="E287" i="6"/>
  <c r="E288" i="6"/>
  <c r="E291" i="6"/>
  <c r="E292" i="6"/>
  <c r="E293" i="6"/>
  <c r="E294" i="6"/>
  <c r="D5" i="2"/>
  <c r="B6" i="22" s="1"/>
  <c r="C55" i="22" s="1"/>
  <c r="D6" i="2"/>
  <c r="B7" i="22" s="1"/>
  <c r="C56" i="22" s="1"/>
  <c r="D7" i="2"/>
  <c r="B8" i="22"/>
  <c r="C57" i="22"/>
  <c r="D8" i="2"/>
  <c r="B9" i="22" s="1"/>
  <c r="C58" i="22" s="1"/>
  <c r="D29" i="2"/>
  <c r="B36" i="22" s="1"/>
  <c r="D30" i="2"/>
  <c r="B37" i="22" s="1"/>
  <c r="O37" i="22" s="1"/>
  <c r="D32" i="2"/>
  <c r="B40" i="22" s="1"/>
  <c r="C82" i="22" s="1"/>
  <c r="D33" i="2"/>
  <c r="B41" i="22"/>
  <c r="D34" i="2"/>
  <c r="B42" i="22" s="1"/>
  <c r="D26" i="2"/>
  <c r="B32" i="22" s="1"/>
  <c r="C76" i="22" s="1"/>
  <c r="D27" i="2"/>
  <c r="Q167" i="22"/>
  <c r="R167" i="22"/>
  <c r="S167" i="22"/>
  <c r="T167" i="22"/>
  <c r="U167" i="22"/>
  <c r="V167" i="22"/>
  <c r="W167" i="22"/>
  <c r="X167" i="22"/>
  <c r="Y167" i="22"/>
  <c r="Z167" i="22"/>
  <c r="Q158" i="22"/>
  <c r="R158" i="22"/>
  <c r="S158" i="22"/>
  <c r="T158" i="22"/>
  <c r="U158" i="22"/>
  <c r="V158" i="22"/>
  <c r="W158" i="22"/>
  <c r="X158" i="22"/>
  <c r="Y158" i="22"/>
  <c r="Z158" i="22"/>
  <c r="C25" i="2"/>
  <c r="B29" i="22" s="1"/>
  <c r="B150" i="22" s="1"/>
  <c r="N151" i="22" s="1"/>
  <c r="Q149" i="22"/>
  <c r="R149" i="22"/>
  <c r="S149" i="22"/>
  <c r="T149" i="22"/>
  <c r="U149" i="22"/>
  <c r="V149" i="22"/>
  <c r="W149" i="22"/>
  <c r="X149" i="22"/>
  <c r="Y149" i="22"/>
  <c r="Z149" i="22"/>
  <c r="C16" i="2"/>
  <c r="B19" i="22" s="1"/>
  <c r="Z140" i="22"/>
  <c r="Y140" i="22"/>
  <c r="X140" i="22"/>
  <c r="W140" i="22"/>
  <c r="V140" i="22"/>
  <c r="U140" i="22"/>
  <c r="T140" i="22"/>
  <c r="S140" i="22"/>
  <c r="R140" i="22"/>
  <c r="Q140" i="22"/>
  <c r="Z131" i="22"/>
  <c r="Y131" i="22"/>
  <c r="X131" i="22"/>
  <c r="W131" i="22"/>
  <c r="V131" i="22"/>
  <c r="U131" i="22"/>
  <c r="T131" i="22"/>
  <c r="S131" i="22"/>
  <c r="R131" i="22"/>
  <c r="Q131" i="22"/>
  <c r="C9" i="2"/>
  <c r="B10" i="22" s="1"/>
  <c r="P81" i="22"/>
  <c r="S81" i="22" s="1"/>
  <c r="P78" i="22"/>
  <c r="S78" i="22" s="1"/>
  <c r="P75" i="22"/>
  <c r="S75" i="22" s="1"/>
  <c r="P66" i="22"/>
  <c r="S66" i="22" s="1"/>
  <c r="P59" i="22"/>
  <c r="S59" i="22" s="1"/>
  <c r="AB22" i="12"/>
  <c r="AC28" i="23"/>
  <c r="AC27" i="23"/>
  <c r="E254" i="6"/>
  <c r="E263" i="6"/>
  <c r="E258" i="6"/>
  <c r="E262" i="6"/>
  <c r="E319" i="6"/>
  <c r="E320" i="6"/>
  <c r="E321" i="6"/>
  <c r="E322" i="6"/>
  <c r="E323" i="6"/>
  <c r="E324" i="6"/>
  <c r="E325" i="6"/>
  <c r="E257" i="6"/>
  <c r="E311" i="6"/>
  <c r="E312" i="6"/>
  <c r="E313" i="6"/>
  <c r="E314" i="6"/>
  <c r="E315" i="6"/>
  <c r="E316" i="6"/>
  <c r="E255" i="6"/>
  <c r="E256" i="6"/>
  <c r="E302" i="6"/>
  <c r="E303" i="6"/>
  <c r="E304" i="6"/>
  <c r="E305" i="6"/>
  <c r="E306" i="6"/>
  <c r="E307" i="6"/>
  <c r="E308" i="6"/>
  <c r="E264" i="6"/>
  <c r="C46" i="3" s="1"/>
  <c r="B32" i="28" s="1"/>
  <c r="F493" i="6"/>
  <c r="F494" i="6"/>
  <c r="F495" i="6"/>
  <c r="F496" i="6"/>
  <c r="F497" i="6"/>
  <c r="F486" i="6"/>
  <c r="F487" i="6"/>
  <c r="F488" i="6"/>
  <c r="F489" i="6"/>
  <c r="F490" i="6"/>
  <c r="F480" i="6"/>
  <c r="F481" i="6"/>
  <c r="F482" i="6"/>
  <c r="F483" i="6"/>
  <c r="C356" i="6"/>
  <c r="C365" i="6"/>
  <c r="C371" i="6"/>
  <c r="C379" i="6"/>
  <c r="AZ359" i="6" s="1"/>
  <c r="C384" i="6"/>
  <c r="C392" i="6"/>
  <c r="C405" i="6"/>
  <c r="C8" i="2"/>
  <c r="C100" i="3" s="1"/>
  <c r="C7" i="2"/>
  <c r="A8" i="22" s="1"/>
  <c r="C6" i="2"/>
  <c r="A7" i="22" s="1"/>
  <c r="C5" i="2"/>
  <c r="A6" i="22" s="1"/>
  <c r="F104" i="22"/>
  <c r="G104" i="22" s="1"/>
  <c r="F105" i="22"/>
  <c r="F106" i="22"/>
  <c r="G106" i="22" s="1"/>
  <c r="F107" i="22"/>
  <c r="G107" i="22" s="1"/>
  <c r="AB389" i="6"/>
  <c r="AI393" i="6"/>
  <c r="AB385" i="6" s="1"/>
  <c r="AH393" i="6"/>
  <c r="AB386" i="6" s="1"/>
  <c r="AG393" i="6"/>
  <c r="AB387" i="6" s="1"/>
  <c r="AF393" i="6"/>
  <c r="AB388" i="6" s="1"/>
  <c r="AE393" i="6"/>
  <c r="N36" i="28"/>
  <c r="N35" i="28"/>
  <c r="AD385" i="6"/>
  <c r="AD386" i="6"/>
  <c r="AD387" i="6"/>
  <c r="AD388" i="6"/>
  <c r="AD389" i="6"/>
  <c r="AE390" i="6"/>
  <c r="AF390" i="6"/>
  <c r="C76" i="17"/>
  <c r="K78" i="17" s="1"/>
  <c r="E181" i="6"/>
  <c r="G77" i="17"/>
  <c r="E180" i="6"/>
  <c r="F181" i="6" s="1"/>
  <c r="J83" i="17"/>
  <c r="D65" i="6"/>
  <c r="E357" i="6" s="1"/>
  <c r="D66" i="6"/>
  <c r="E358" i="6" s="1"/>
  <c r="D67" i="6"/>
  <c r="E359" i="6" s="1"/>
  <c r="D68" i="6"/>
  <c r="E360" i="6" s="1"/>
  <c r="D69" i="6"/>
  <c r="E361" i="6" s="1"/>
  <c r="D70" i="6"/>
  <c r="E362" i="6" s="1"/>
  <c r="D71" i="6"/>
  <c r="E363" i="6" s="1"/>
  <c r="G28" i="17"/>
  <c r="C31" i="16"/>
  <c r="C32" i="16" s="1"/>
  <c r="C33" i="16" s="1"/>
  <c r="C34" i="16" s="1"/>
  <c r="C35" i="16" s="1"/>
  <c r="C36" i="16" s="1"/>
  <c r="AI334" i="6"/>
  <c r="AI333" i="6"/>
  <c r="AF345" i="6" s="1"/>
  <c r="AF348" i="6" s="1"/>
  <c r="G142" i="17"/>
  <c r="E249" i="6"/>
  <c r="C33" i="7" s="1"/>
  <c r="D46" i="28" s="1"/>
  <c r="E250" i="6"/>
  <c r="F328" i="6" s="1"/>
  <c r="E251" i="6"/>
  <c r="C83" i="17"/>
  <c r="C46" i="9" s="1"/>
  <c r="G84" i="17"/>
  <c r="C92" i="17"/>
  <c r="T79" i="17" s="1"/>
  <c r="G93" i="17"/>
  <c r="C93" i="17" s="1"/>
  <c r="T80" i="17" s="1"/>
  <c r="G94" i="17"/>
  <c r="G95" i="17" s="1"/>
  <c r="C95" i="17" s="1"/>
  <c r="C96" i="17"/>
  <c r="Z79" i="17" s="1"/>
  <c r="G97" i="17"/>
  <c r="C102" i="17"/>
  <c r="G103" i="17"/>
  <c r="G104" i="17" s="1"/>
  <c r="C104" i="17" s="1"/>
  <c r="C103" i="17"/>
  <c r="J87" i="17" s="1"/>
  <c r="C105" i="17"/>
  <c r="J110" i="17" s="1"/>
  <c r="G106" i="17"/>
  <c r="C111" i="17"/>
  <c r="G112" i="17"/>
  <c r="G113" i="17" s="1"/>
  <c r="C115" i="17"/>
  <c r="G116" i="17"/>
  <c r="G117" i="17" s="1"/>
  <c r="C116" i="17"/>
  <c r="L111" i="17" s="1"/>
  <c r="C126" i="17"/>
  <c r="C127" i="17"/>
  <c r="C128" i="17"/>
  <c r="C129" i="17"/>
  <c r="C130" i="17"/>
  <c r="C131" i="17"/>
  <c r="AZ79" i="17" s="1"/>
  <c r="G132" i="17"/>
  <c r="C136" i="17"/>
  <c r="G137" i="17"/>
  <c r="C137" i="17" s="1"/>
  <c r="BF80" i="17" s="1"/>
  <c r="G138" i="17"/>
  <c r="G139" i="17" s="1"/>
  <c r="C141" i="17"/>
  <c r="BN79" i="17" s="1"/>
  <c r="C144" i="17"/>
  <c r="G145" i="17"/>
  <c r="G146" i="17" s="1"/>
  <c r="C146" i="17" s="1"/>
  <c r="G147" i="17"/>
  <c r="G148" i="17" s="1"/>
  <c r="C148" i="17" s="1"/>
  <c r="BW83" i="17" s="1"/>
  <c r="BF79" i="17"/>
  <c r="O356" i="6"/>
  <c r="E182" i="6"/>
  <c r="D139" i="6"/>
  <c r="E493" i="6" s="1"/>
  <c r="D140" i="6"/>
  <c r="E494" i="6" s="1"/>
  <c r="D141" i="6"/>
  <c r="E495" i="6"/>
  <c r="D142" i="6"/>
  <c r="E496" i="6" s="1"/>
  <c r="D143" i="6"/>
  <c r="E497" i="6" s="1"/>
  <c r="E184" i="6"/>
  <c r="D134" i="6"/>
  <c r="E486" i="6"/>
  <c r="D135" i="6"/>
  <c r="E487" i="6" s="1"/>
  <c r="D136" i="6"/>
  <c r="E488" i="6"/>
  <c r="D137" i="6"/>
  <c r="E489" i="6" s="1"/>
  <c r="D138" i="6"/>
  <c r="E490" i="6"/>
  <c r="D130" i="6"/>
  <c r="D131" i="6"/>
  <c r="E481" i="6" s="1"/>
  <c r="D132" i="6"/>
  <c r="E482" i="6" s="1"/>
  <c r="D133" i="6"/>
  <c r="E483" i="6"/>
  <c r="Q477" i="6"/>
  <c r="Q443" i="6"/>
  <c r="Q417" i="6"/>
  <c r="G39" i="17"/>
  <c r="C39" i="17" s="1"/>
  <c r="G155" i="17"/>
  <c r="C155" i="17" s="1"/>
  <c r="C41" i="11" s="1"/>
  <c r="C3" i="17"/>
  <c r="G4" i="17"/>
  <c r="C6" i="17"/>
  <c r="G7" i="17"/>
  <c r="C7" i="17" s="1"/>
  <c r="G8" i="17"/>
  <c r="C8" i="17"/>
  <c r="C9" i="17"/>
  <c r="G10" i="17"/>
  <c r="C10" i="17" s="1"/>
  <c r="C11" i="17"/>
  <c r="G12" i="17"/>
  <c r="C12" i="17" s="1"/>
  <c r="C15" i="17"/>
  <c r="C34" i="9" s="1"/>
  <c r="C62" i="28" s="1"/>
  <c r="G16" i="17"/>
  <c r="C22" i="17"/>
  <c r="C43" i="9" s="1"/>
  <c r="G23" i="17"/>
  <c r="C23" i="17" s="1"/>
  <c r="C44" i="9" s="1"/>
  <c r="G24" i="17"/>
  <c r="C24" i="17" s="1"/>
  <c r="C27" i="17"/>
  <c r="C34" i="17"/>
  <c r="G35" i="17"/>
  <c r="C38" i="17"/>
  <c r="C67" i="17"/>
  <c r="G68" i="17"/>
  <c r="C68" i="17" s="1"/>
  <c r="M68" i="17" s="1"/>
  <c r="C150" i="17"/>
  <c r="C34" i="11" s="1"/>
  <c r="G151" i="17"/>
  <c r="G152" i="17" s="1"/>
  <c r="C151" i="17"/>
  <c r="C35" i="11" s="1"/>
  <c r="C177" i="28" s="1"/>
  <c r="C154" i="17"/>
  <c r="C40" i="11" s="1"/>
  <c r="C181" i="28" s="1"/>
  <c r="C158" i="17"/>
  <c r="C30" i="12" s="1"/>
  <c r="C188" i="28" s="1"/>
  <c r="G159" i="17"/>
  <c r="C159" i="17" s="1"/>
  <c r="C162" i="17"/>
  <c r="G163" i="17"/>
  <c r="G164" i="17" s="1"/>
  <c r="C164" i="17" s="1"/>
  <c r="C38" i="12" s="1"/>
  <c r="C195" i="28" s="1"/>
  <c r="C167" i="17"/>
  <c r="C43" i="12" s="1"/>
  <c r="C199" i="28" s="1"/>
  <c r="G168" i="17"/>
  <c r="C168" i="17" s="1"/>
  <c r="D125" i="6"/>
  <c r="E452" i="6" s="1"/>
  <c r="D126" i="6"/>
  <c r="E453" i="6"/>
  <c r="D127" i="6"/>
  <c r="E454" i="6" s="1"/>
  <c r="D128" i="6"/>
  <c r="E455" i="6" s="1"/>
  <c r="AH450" i="6"/>
  <c r="AG451" i="6" s="1"/>
  <c r="AH451" i="6" s="1"/>
  <c r="AG452" i="6"/>
  <c r="AH452" i="6"/>
  <c r="AG453" i="6" s="1"/>
  <c r="AH453" i="6" s="1"/>
  <c r="AG454" i="6" s="1"/>
  <c r="AG468" i="6"/>
  <c r="AH468" i="6"/>
  <c r="AI468" i="6"/>
  <c r="AH455" i="6"/>
  <c r="AG456" i="6" s="1"/>
  <c r="AH456" i="6" s="1"/>
  <c r="AG457" i="6" s="1"/>
  <c r="AF463" i="6"/>
  <c r="AF464" i="6"/>
  <c r="AF465" i="6"/>
  <c r="AF466" i="6"/>
  <c r="AF467" i="6"/>
  <c r="AH472" i="6"/>
  <c r="D121" i="6"/>
  <c r="E446" i="6" s="1"/>
  <c r="D122" i="6"/>
  <c r="E121" i="6" s="1"/>
  <c r="D123" i="6"/>
  <c r="E448" i="6" s="1"/>
  <c r="D124" i="6"/>
  <c r="E449" i="6"/>
  <c r="BV83" i="17"/>
  <c r="BV81" i="17"/>
  <c r="BV79" i="17"/>
  <c r="E433" i="6"/>
  <c r="E432" i="6"/>
  <c r="D117" i="6"/>
  <c r="E434" i="6" s="1"/>
  <c r="E435" i="6"/>
  <c r="E436" i="6"/>
  <c r="E183" i="6"/>
  <c r="F183" i="6" s="1"/>
  <c r="D112" i="6"/>
  <c r="E427" i="6" s="1"/>
  <c r="D113" i="6"/>
  <c r="E428" i="6" s="1"/>
  <c r="D114" i="6"/>
  <c r="E429" i="6" s="1"/>
  <c r="D111" i="6"/>
  <c r="E425" i="6" s="1"/>
  <c r="D110" i="6"/>
  <c r="E424" i="6" s="1"/>
  <c r="D109" i="6"/>
  <c r="E423" i="6"/>
  <c r="D108" i="6"/>
  <c r="D107" i="6"/>
  <c r="E421" i="6" s="1"/>
  <c r="Q354" i="6"/>
  <c r="D51" i="16"/>
  <c r="P34" i="28" s="1"/>
  <c r="C36" i="7"/>
  <c r="C282" i="6" s="1"/>
  <c r="C14" i="6" s="1"/>
  <c r="C41" i="7"/>
  <c r="C287" i="6" s="1"/>
  <c r="F287" i="6" s="1"/>
  <c r="G287" i="6" s="1"/>
  <c r="D98" i="6"/>
  <c r="E406" i="6" s="1"/>
  <c r="D99" i="6"/>
  <c r="D100" i="6"/>
  <c r="E408" i="6" s="1"/>
  <c r="D101" i="6"/>
  <c r="E409" i="6" s="1"/>
  <c r="D102" i="6"/>
  <c r="E410" i="6" s="1"/>
  <c r="D103" i="6"/>
  <c r="E411" i="6" s="1"/>
  <c r="D104" i="6"/>
  <c r="E412" i="6" s="1"/>
  <c r="F180" i="6"/>
  <c r="AJ79" i="17"/>
  <c r="AJ81" i="17"/>
  <c r="D82" i="6"/>
  <c r="E380" i="6" s="1"/>
  <c r="AB54" i="23"/>
  <c r="Q122" i="28" s="1"/>
  <c r="D76" i="6"/>
  <c r="E372" i="6" s="1"/>
  <c r="AB55" i="23"/>
  <c r="Q123" i="28" s="1"/>
  <c r="D77" i="6"/>
  <c r="D78" i="6"/>
  <c r="E374" i="6" s="1"/>
  <c r="D79" i="6"/>
  <c r="E375" i="6" s="1"/>
  <c r="D80" i="6"/>
  <c r="E376" i="6" s="1"/>
  <c r="D81" i="6"/>
  <c r="E377" i="6" s="1"/>
  <c r="D83" i="6"/>
  <c r="E381" i="6" s="1"/>
  <c r="D84" i="6"/>
  <c r="E382" i="6"/>
  <c r="T82" i="17"/>
  <c r="E366" i="6"/>
  <c r="E367" i="6"/>
  <c r="E368" i="6"/>
  <c r="E369" i="6"/>
  <c r="AG390" i="6"/>
  <c r="E346" i="6"/>
  <c r="E347" i="6"/>
  <c r="E348" i="6"/>
  <c r="E349" i="6"/>
  <c r="D49" i="6"/>
  <c r="E334" i="6" s="1"/>
  <c r="D50" i="6"/>
  <c r="E335" i="6" s="1"/>
  <c r="D51" i="6"/>
  <c r="E336" i="6" s="1"/>
  <c r="D52" i="6"/>
  <c r="E337" i="6" s="1"/>
  <c r="D53" i="6"/>
  <c r="E338" i="6" s="1"/>
  <c r="D54" i="6"/>
  <c r="E339" i="6" s="1"/>
  <c r="D55" i="6"/>
  <c r="E340" i="6" s="1"/>
  <c r="D56" i="6"/>
  <c r="E341" i="6" s="1"/>
  <c r="D57" i="6"/>
  <c r="E342" i="6" s="1"/>
  <c r="C51" i="9"/>
  <c r="C45" i="9"/>
  <c r="C46" i="7"/>
  <c r="C292" i="6" s="1"/>
  <c r="C47" i="7"/>
  <c r="C293" i="6" s="1"/>
  <c r="F293" i="6" s="1"/>
  <c r="C48" i="7"/>
  <c r="Q299" i="6"/>
  <c r="C37" i="7"/>
  <c r="C283" i="6" s="1"/>
  <c r="F283" i="6" s="1"/>
  <c r="G283" i="6" s="1"/>
  <c r="I283" i="6" s="1"/>
  <c r="C30" i="7"/>
  <c r="AC311" i="6"/>
  <c r="AD336" i="6"/>
  <c r="AF330" i="6"/>
  <c r="AE330" i="6" s="1"/>
  <c r="AF332" i="6" s="1"/>
  <c r="AE341" i="6"/>
  <c r="AD337" i="6"/>
  <c r="AD338" i="6"/>
  <c r="AD339" i="6"/>
  <c r="AD340" i="6"/>
  <c r="AF341" i="6"/>
  <c r="AG341" i="6"/>
  <c r="AH341" i="6"/>
  <c r="AI341" i="6"/>
  <c r="C398" i="6"/>
  <c r="D95" i="6"/>
  <c r="E399" i="6"/>
  <c r="D96" i="6"/>
  <c r="D97" i="6"/>
  <c r="E401" i="6"/>
  <c r="Z376" i="6"/>
  <c r="Z378" i="6" s="1"/>
  <c r="Y373" i="6"/>
  <c r="X370" i="6"/>
  <c r="X369" i="6"/>
  <c r="I245" i="6"/>
  <c r="I244" i="6"/>
  <c r="I243" i="6"/>
  <c r="W345" i="6"/>
  <c r="W346" i="6" s="1"/>
  <c r="G214" i="6"/>
  <c r="F4" i="2" s="1"/>
  <c r="F249" i="6"/>
  <c r="F250" i="6"/>
  <c r="G250" i="6" s="1"/>
  <c r="F251" i="6"/>
  <c r="G251" i="6" s="1"/>
  <c r="AC9" i="22"/>
  <c r="AC6" i="22"/>
  <c r="K198" i="6"/>
  <c r="K199" i="6" s="1"/>
  <c r="N85" i="22"/>
  <c r="M4" i="22"/>
  <c r="M5" i="22" s="1"/>
  <c r="M6" i="22" s="1"/>
  <c r="M7" i="22" s="1"/>
  <c r="M8" i="22" s="1"/>
  <c r="M9" i="22" s="1"/>
  <c r="M10" i="22" s="1"/>
  <c r="M11" i="22" s="1"/>
  <c r="M12" i="22" s="1"/>
  <c r="M13" i="22" s="1"/>
  <c r="M14" i="22" s="1"/>
  <c r="M15" i="22" s="1"/>
  <c r="M16" i="22" s="1"/>
  <c r="M17" i="22" s="1"/>
  <c r="M18" i="22" s="1"/>
  <c r="M19" i="22" s="1"/>
  <c r="M20" i="22" s="1"/>
  <c r="M21" i="22" s="1"/>
  <c r="M22" i="22" s="1"/>
  <c r="M23" i="22" s="1"/>
  <c r="M24" i="22" s="1"/>
  <c r="M25" i="22" s="1"/>
  <c r="M26" i="22" s="1"/>
  <c r="M27" i="22" s="1"/>
  <c r="M28" i="22" s="1"/>
  <c r="M29" i="22" s="1"/>
  <c r="M30" i="22" s="1"/>
  <c r="M31" i="22" s="1"/>
  <c r="M32" i="22" s="1"/>
  <c r="M33" i="22" s="1"/>
  <c r="M34" i="22" s="1"/>
  <c r="M35" i="22" s="1"/>
  <c r="M36" i="22" s="1"/>
  <c r="M37" i="22" s="1"/>
  <c r="M38" i="22" s="1"/>
  <c r="M39" i="22" s="1"/>
  <c r="M40" i="22" s="1"/>
  <c r="M41" i="22" s="1"/>
  <c r="M42" i="22" s="1"/>
  <c r="M43" i="22" s="1"/>
  <c r="W86" i="3"/>
  <c r="W79" i="3"/>
  <c r="W72" i="3"/>
  <c r="W65" i="3"/>
  <c r="W58" i="3"/>
  <c r="Q81" i="22"/>
  <c r="Q78" i="22"/>
  <c r="Q75" i="22"/>
  <c r="Q66" i="22"/>
  <c r="Q59" i="22"/>
  <c r="C18" i="2"/>
  <c r="C19" i="2" s="1"/>
  <c r="F24" i="22"/>
  <c r="A40" i="22"/>
  <c r="A41" i="22"/>
  <c r="A42" i="22"/>
  <c r="O43" i="22"/>
  <c r="A37" i="22"/>
  <c r="AI160" i="23"/>
  <c r="B6" i="31"/>
  <c r="B7" i="31" s="1"/>
  <c r="B8" i="31" s="1"/>
  <c r="B39" i="28"/>
  <c r="B38" i="28"/>
  <c r="T39" i="28"/>
  <c r="T38" i="28"/>
  <c r="P39" i="28"/>
  <c r="P38" i="28"/>
  <c r="P37" i="28"/>
  <c r="K16" i="6"/>
  <c r="S74" i="28"/>
  <c r="S73" i="28"/>
  <c r="S72" i="28"/>
  <c r="S71" i="28"/>
  <c r="Q74" i="28"/>
  <c r="Q73" i="28"/>
  <c r="Q72" i="28"/>
  <c r="B72" i="28"/>
  <c r="B74" i="28"/>
  <c r="B73" i="28"/>
  <c r="C55" i="16"/>
  <c r="E32" i="6"/>
  <c r="B316" i="6"/>
  <c r="B315" i="6"/>
  <c r="B314" i="6"/>
  <c r="L83" i="17"/>
  <c r="Z35" i="22"/>
  <c r="Y35" i="22"/>
  <c r="X35" i="22"/>
  <c r="W35" i="22"/>
  <c r="V35" i="22"/>
  <c r="U35" i="22"/>
  <c r="T35" i="22"/>
  <c r="S35" i="22"/>
  <c r="R35" i="22"/>
  <c r="Q35" i="22"/>
  <c r="S172" i="28"/>
  <c r="S171" i="28"/>
  <c r="S170" i="28"/>
  <c r="S169" i="28"/>
  <c r="S168" i="28"/>
  <c r="S96" i="28"/>
  <c r="S95" i="28"/>
  <c r="S94" i="28"/>
  <c r="S93" i="28"/>
  <c r="S92" i="28"/>
  <c r="S91" i="28"/>
  <c r="S90" i="28"/>
  <c r="S89" i="28"/>
  <c r="S86" i="28"/>
  <c r="S85" i="28"/>
  <c r="S84" i="28"/>
  <c r="S82" i="28"/>
  <c r="S81" i="28"/>
  <c r="S80" i="28"/>
  <c r="S79" i="28"/>
  <c r="S77" i="28"/>
  <c r="S78" i="28"/>
  <c r="S76" i="28"/>
  <c r="S70" i="28"/>
  <c r="S69" i="28"/>
  <c r="S58" i="28"/>
  <c r="Q58" i="28"/>
  <c r="B58" i="28"/>
  <c r="S57" i="28"/>
  <c r="Q57" i="28"/>
  <c r="B57" i="28"/>
  <c r="S56" i="28"/>
  <c r="Q56" i="28"/>
  <c r="B56" i="28"/>
  <c r="S55" i="28"/>
  <c r="Q55" i="28"/>
  <c r="D55" i="28"/>
  <c r="B55" i="28"/>
  <c r="D54" i="28"/>
  <c r="B54" i="28"/>
  <c r="S53" i="28"/>
  <c r="S52" i="28"/>
  <c r="S50" i="28"/>
  <c r="S49" i="28"/>
  <c r="S48" i="28"/>
  <c r="S46" i="28"/>
  <c r="Q46" i="28"/>
  <c r="B46" i="28"/>
  <c r="S104" i="28"/>
  <c r="Q104" i="28"/>
  <c r="C104" i="28"/>
  <c r="S103" i="28"/>
  <c r="Q103" i="28"/>
  <c r="S102" i="28"/>
  <c r="Q102" i="28"/>
  <c r="S101" i="28"/>
  <c r="Q101" i="28"/>
  <c r="D105" i="28"/>
  <c r="B105" i="28"/>
  <c r="S100" i="28"/>
  <c r="Q100" i="28"/>
  <c r="AB46" i="3"/>
  <c r="AB45" i="3"/>
  <c r="AB44" i="3"/>
  <c r="AB43" i="3"/>
  <c r="AB35" i="3"/>
  <c r="C45" i="3"/>
  <c r="B31" i="28" s="1"/>
  <c r="C53" i="2"/>
  <c r="C52" i="2"/>
  <c r="C44" i="3"/>
  <c r="B30" i="28" s="1"/>
  <c r="C50" i="2"/>
  <c r="AC33" i="9"/>
  <c r="AC64" i="9"/>
  <c r="B331" i="6"/>
  <c r="B330" i="6"/>
  <c r="B86" i="28" s="1"/>
  <c r="B329" i="6"/>
  <c r="D23" i="16"/>
  <c r="B35" i="28" s="1"/>
  <c r="D188" i="6"/>
  <c r="D187" i="6"/>
  <c r="D186" i="6"/>
  <c r="D185" i="6"/>
  <c r="C35" i="3"/>
  <c r="B21" i="28" s="1"/>
  <c r="K15" i="6"/>
  <c r="E72" i="6"/>
  <c r="E58" i="6"/>
  <c r="E45" i="6"/>
  <c r="E38" i="6"/>
  <c r="K14" i="6"/>
  <c r="K13" i="6"/>
  <c r="K12" i="6"/>
  <c r="K11" i="6"/>
  <c r="E25" i="6"/>
  <c r="E19" i="6"/>
  <c r="E17" i="6"/>
  <c r="E14" i="6"/>
  <c r="E11" i="6"/>
  <c r="A131" i="6"/>
  <c r="A132" i="6" s="1"/>
  <c r="A134" i="6" s="1"/>
  <c r="A135" i="6" s="1"/>
  <c r="A136" i="6" s="1"/>
  <c r="A137" i="6" s="1"/>
  <c r="A138" i="6" s="1"/>
  <c r="A139" i="6" s="1"/>
  <c r="A140" i="6" s="1"/>
  <c r="A141" i="6" s="1"/>
  <c r="A142" i="6" s="1"/>
  <c r="A143" i="6" s="1"/>
  <c r="A129" i="6"/>
  <c r="A122" i="6"/>
  <c r="A123" i="6" s="1"/>
  <c r="A124" i="6" s="1"/>
  <c r="A125" i="6" s="1"/>
  <c r="A126" i="6" s="1"/>
  <c r="A127" i="6" s="1"/>
  <c r="A128" i="6" s="1"/>
  <c r="A120" i="6"/>
  <c r="A108" i="6"/>
  <c r="A109" i="6" s="1"/>
  <c r="A110" i="6" s="1"/>
  <c r="A111" i="6" s="1"/>
  <c r="A112" i="6" s="1"/>
  <c r="A113" i="6" s="1"/>
  <c r="A114" i="6" s="1"/>
  <c r="A115" i="6" s="1"/>
  <c r="A116" i="6" s="1"/>
  <c r="A117" i="6" s="1"/>
  <c r="A118" i="6" s="1"/>
  <c r="A119" i="6" s="1"/>
  <c r="A106" i="6"/>
  <c r="A64" i="6"/>
  <c r="A66" i="6"/>
  <c r="A67" i="6" s="1"/>
  <c r="A68" i="6" s="1"/>
  <c r="A69" i="6" s="1"/>
  <c r="A70" i="6" s="1"/>
  <c r="A71" i="6" s="1"/>
  <c r="A72" i="6" s="1"/>
  <c r="A73" i="6" s="1"/>
  <c r="A74" i="6"/>
  <c r="A75" i="6" s="1"/>
  <c r="A76" i="6" s="1"/>
  <c r="A77" i="6" s="1"/>
  <c r="A78" i="6" s="1"/>
  <c r="A79" i="6" s="1"/>
  <c r="A80" i="6" s="1"/>
  <c r="A81" i="6" s="1"/>
  <c r="A82" i="6"/>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 i="6"/>
  <c r="A12" i="6"/>
  <c r="A13" i="6" s="1"/>
  <c r="A14" i="6"/>
  <c r="A15" i="6"/>
  <c r="A16" i="6" s="1"/>
  <c r="A17" i="6" s="1"/>
  <c r="A18" i="6" s="1"/>
  <c r="A19" i="6" s="1"/>
  <c r="A20" i="6" s="1"/>
  <c r="A21" i="6" s="1"/>
  <c r="A22" i="6" s="1"/>
  <c r="A24" i="6"/>
  <c r="A26" i="6"/>
  <c r="A27" i="6" s="1"/>
  <c r="A28" i="6" s="1"/>
  <c r="A29" i="6" s="1"/>
  <c r="A30" i="6" s="1"/>
  <c r="A31" i="6" s="1"/>
  <c r="A32" i="6"/>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E82" i="6"/>
  <c r="AB42" i="3"/>
  <c r="AB41" i="3"/>
  <c r="AB40" i="3"/>
  <c r="AB39" i="3"/>
  <c r="AB38" i="3"/>
  <c r="AB37" i="3"/>
  <c r="AB36" i="3"/>
  <c r="AB32" i="3"/>
  <c r="AB31" i="3"/>
  <c r="AB30" i="3"/>
  <c r="F34" i="22"/>
  <c r="F38" i="22"/>
  <c r="F29" i="22"/>
  <c r="F19" i="22"/>
  <c r="F10" i="22"/>
  <c r="B36" i="28"/>
  <c r="B2" i="28"/>
  <c r="Q82" i="28"/>
  <c r="I15" i="16"/>
  <c r="S115" i="28"/>
  <c r="S114" i="28"/>
  <c r="J228" i="6"/>
  <c r="AH81" i="17"/>
  <c r="AH80" i="17"/>
  <c r="AH79" i="17"/>
  <c r="AG460" i="6"/>
  <c r="AG470" i="6" s="1"/>
  <c r="AG461" i="6"/>
  <c r="AE462" i="6"/>
  <c r="AJ468" i="6"/>
  <c r="AK468" i="6"/>
  <c r="B114" i="28"/>
  <c r="Q114" i="28"/>
  <c r="B156" i="28"/>
  <c r="S97" i="28"/>
  <c r="B97" i="28"/>
  <c r="BO2" i="24"/>
  <c r="B320" i="6"/>
  <c r="B85" i="28"/>
  <c r="Q85" i="28"/>
  <c r="Q81" i="28"/>
  <c r="Q80" i="28"/>
  <c r="Q79" i="28"/>
  <c r="Q78" i="28"/>
  <c r="Q77" i="28"/>
  <c r="B77" i="28"/>
  <c r="B44" i="28"/>
  <c r="B45" i="28"/>
  <c r="B47" i="28"/>
  <c r="B48" i="28"/>
  <c r="B49" i="28"/>
  <c r="F182" i="6"/>
  <c r="F184" i="6"/>
  <c r="AI164" i="23"/>
  <c r="AI162" i="23"/>
  <c r="AI158" i="23"/>
  <c r="AI156" i="23"/>
  <c r="AI149" i="23"/>
  <c r="AI140" i="23"/>
  <c r="AI134" i="23"/>
  <c r="AW121" i="9"/>
  <c r="AW119" i="9"/>
  <c r="AW117" i="9"/>
  <c r="AW112" i="9"/>
  <c r="AW94" i="9"/>
  <c r="I10" i="7"/>
  <c r="H10" i="7"/>
  <c r="G10" i="7"/>
  <c r="F10" i="7"/>
  <c r="E10" i="7"/>
  <c r="D10" i="7"/>
  <c r="D7" i="7"/>
  <c r="E7" i="7" s="1"/>
  <c r="F7" i="7" s="1"/>
  <c r="G7" i="7" s="1"/>
  <c r="H7" i="7" s="1"/>
  <c r="I7" i="7" s="1"/>
  <c r="J7" i="7" s="1"/>
  <c r="K7" i="7" s="1"/>
  <c r="L7" i="7" s="1"/>
  <c r="N7" i="7" s="1"/>
  <c r="M234" i="6"/>
  <c r="J234" i="6"/>
  <c r="D234" i="6"/>
  <c r="X371" i="6"/>
  <c r="X372" i="6"/>
  <c r="J33" i="28"/>
  <c r="V35" i="28"/>
  <c r="V34" i="28"/>
  <c r="P33" i="28"/>
  <c r="T203" i="28"/>
  <c r="S203" i="28"/>
  <c r="T202" i="28"/>
  <c r="S202" i="28"/>
  <c r="T201" i="28"/>
  <c r="S201" i="28"/>
  <c r="T200" i="28"/>
  <c r="S200" i="28"/>
  <c r="S199" i="28"/>
  <c r="T197" i="28"/>
  <c r="S197" i="28"/>
  <c r="T196" i="28"/>
  <c r="S196" i="28"/>
  <c r="T195" i="28"/>
  <c r="S195" i="28"/>
  <c r="T194" i="28"/>
  <c r="S194" i="28"/>
  <c r="S193" i="28"/>
  <c r="T199" i="28"/>
  <c r="T193" i="28"/>
  <c r="S191" i="28"/>
  <c r="T191" i="28"/>
  <c r="S190" i="28"/>
  <c r="T190" i="28"/>
  <c r="S189" i="28"/>
  <c r="T189" i="28"/>
  <c r="S188" i="28"/>
  <c r="S184" i="28"/>
  <c r="S183" i="28"/>
  <c r="S182" i="28"/>
  <c r="S181" i="28"/>
  <c r="S179" i="28"/>
  <c r="S178" i="28"/>
  <c r="S177" i="28"/>
  <c r="S176" i="28"/>
  <c r="Q176" i="28"/>
  <c r="S153" i="28"/>
  <c r="S152" i="28"/>
  <c r="S151" i="28"/>
  <c r="S150" i="28"/>
  <c r="S149" i="28"/>
  <c r="S147" i="28"/>
  <c r="S146" i="28"/>
  <c r="S145" i="28"/>
  <c r="S143" i="28"/>
  <c r="S142" i="28"/>
  <c r="S141" i="28"/>
  <c r="S140" i="28"/>
  <c r="S138" i="28"/>
  <c r="S137" i="28"/>
  <c r="S136" i="28"/>
  <c r="S135" i="28"/>
  <c r="S134" i="28"/>
  <c r="S133" i="28"/>
  <c r="S131" i="28"/>
  <c r="S130" i="28"/>
  <c r="S129" i="28"/>
  <c r="S127" i="28"/>
  <c r="S126" i="28"/>
  <c r="S125" i="28"/>
  <c r="S124" i="28"/>
  <c r="S123" i="28"/>
  <c r="S122" i="28"/>
  <c r="S120" i="28"/>
  <c r="S118" i="28"/>
  <c r="S117" i="28"/>
  <c r="S113" i="28"/>
  <c r="S112" i="28"/>
  <c r="S111" i="28"/>
  <c r="S110" i="28"/>
  <c r="S109" i="28"/>
  <c r="D45" i="28"/>
  <c r="T19" i="28"/>
  <c r="T18" i="28"/>
  <c r="T17" i="28"/>
  <c r="B16" i="28"/>
  <c r="T15" i="28"/>
  <c r="T14" i="28"/>
  <c r="T13" i="28"/>
  <c r="T12" i="28"/>
  <c r="P15" i="28"/>
  <c r="P14" i="28"/>
  <c r="P13" i="28"/>
  <c r="P12" i="28"/>
  <c r="T11" i="28"/>
  <c r="T10" i="28"/>
  <c r="T9" i="28"/>
  <c r="T8" i="28"/>
  <c r="P11" i="28"/>
  <c r="P10" i="28"/>
  <c r="P9" i="28"/>
  <c r="P8" i="28"/>
  <c r="P7" i="28"/>
  <c r="T6" i="28"/>
  <c r="T5" i="28"/>
  <c r="P6" i="28"/>
  <c r="P5" i="28"/>
  <c r="P4" i="28"/>
  <c r="E9" i="28"/>
  <c r="B9" i="28"/>
  <c r="E8" i="28"/>
  <c r="B8" i="28"/>
  <c r="E7" i="28"/>
  <c r="B7" i="28"/>
  <c r="E6" i="28"/>
  <c r="B6" i="28"/>
  <c r="N39" i="28"/>
  <c r="J39" i="28"/>
  <c r="N38" i="28"/>
  <c r="J38" i="28"/>
  <c r="J37" i="28"/>
  <c r="J36" i="28"/>
  <c r="J35" i="28"/>
  <c r="N34" i="28"/>
  <c r="J34" i="28"/>
  <c r="B5" i="28"/>
  <c r="B33" i="28"/>
  <c r="B4" i="28"/>
  <c r="H39" i="28"/>
  <c r="H38" i="28"/>
  <c r="H37" i="28"/>
  <c r="H34" i="28"/>
  <c r="H35" i="28" s="1"/>
  <c r="B37" i="28"/>
  <c r="B34" i="28"/>
  <c r="E5" i="28"/>
  <c r="S166" i="28"/>
  <c r="S165" i="28"/>
  <c r="S164" i="28"/>
  <c r="S162" i="28"/>
  <c r="S161" i="28"/>
  <c r="S160" i="28"/>
  <c r="S159" i="28"/>
  <c r="Q184" i="28"/>
  <c r="Q183" i="28"/>
  <c r="Q182" i="28"/>
  <c r="Q181" i="28"/>
  <c r="Q179" i="28"/>
  <c r="Q178" i="28"/>
  <c r="Q177" i="28"/>
  <c r="D180" i="28"/>
  <c r="D175" i="28"/>
  <c r="T188" i="28"/>
  <c r="Q203" i="28"/>
  <c r="Q202" i="28"/>
  <c r="Q201" i="28"/>
  <c r="Q200" i="28"/>
  <c r="Q199" i="28"/>
  <c r="Q197" i="28"/>
  <c r="Q196" i="28"/>
  <c r="Q195" i="28"/>
  <c r="Q194" i="28"/>
  <c r="Q193" i="28"/>
  <c r="Q191" i="28"/>
  <c r="Q190" i="28"/>
  <c r="Q189" i="28"/>
  <c r="Q188" i="28"/>
  <c r="D198" i="28"/>
  <c r="D192" i="28"/>
  <c r="D187" i="28"/>
  <c r="B203" i="28"/>
  <c r="B202" i="28"/>
  <c r="B201" i="28"/>
  <c r="B200" i="28"/>
  <c r="B199" i="28"/>
  <c r="B198" i="28"/>
  <c r="B197" i="28"/>
  <c r="B196" i="28"/>
  <c r="B195" i="28"/>
  <c r="B194" i="28"/>
  <c r="B193" i="28"/>
  <c r="B192" i="28"/>
  <c r="B191" i="28"/>
  <c r="B190" i="28"/>
  <c r="B189" i="28"/>
  <c r="B188" i="28"/>
  <c r="B187" i="28"/>
  <c r="B184" i="28"/>
  <c r="B183" i="28"/>
  <c r="B182" i="28"/>
  <c r="B181" i="28"/>
  <c r="B180" i="28"/>
  <c r="B179" i="28"/>
  <c r="B178" i="28"/>
  <c r="B177" i="28"/>
  <c r="B176" i="28"/>
  <c r="B175" i="28"/>
  <c r="D156" i="28"/>
  <c r="S158" i="28"/>
  <c r="Q172" i="28"/>
  <c r="Q171" i="28"/>
  <c r="Q170" i="28"/>
  <c r="Q169" i="28"/>
  <c r="Q168" i="28"/>
  <c r="Q166" i="28"/>
  <c r="Q165" i="28"/>
  <c r="Q164" i="28"/>
  <c r="Q162" i="28"/>
  <c r="Q161" i="28"/>
  <c r="Q160" i="28"/>
  <c r="Q159" i="28"/>
  <c r="Q158" i="28"/>
  <c r="D167" i="28"/>
  <c r="D163" i="28"/>
  <c r="D157" i="28"/>
  <c r="B172" i="28"/>
  <c r="B171" i="28"/>
  <c r="B170" i="28"/>
  <c r="B169" i="28"/>
  <c r="B168" i="28"/>
  <c r="B167" i="28"/>
  <c r="B166" i="28"/>
  <c r="B165" i="28"/>
  <c r="B164" i="28"/>
  <c r="B163" i="28"/>
  <c r="B162" i="28"/>
  <c r="B161" i="28"/>
  <c r="B160" i="28"/>
  <c r="B159" i="28"/>
  <c r="B158" i="28"/>
  <c r="B157" i="28"/>
  <c r="Q153" i="28"/>
  <c r="Q152" i="28"/>
  <c r="Q151" i="28"/>
  <c r="Q150" i="28"/>
  <c r="Q149" i="28"/>
  <c r="Q147" i="28"/>
  <c r="Q146" i="28"/>
  <c r="Q145" i="28"/>
  <c r="Q143" i="28"/>
  <c r="Q142" i="28"/>
  <c r="Q141" i="28"/>
  <c r="Q140" i="28"/>
  <c r="Q138" i="28"/>
  <c r="Q137" i="28"/>
  <c r="Q136" i="28"/>
  <c r="Q135" i="28"/>
  <c r="Q134" i="28"/>
  <c r="Q133" i="28"/>
  <c r="Q131" i="28"/>
  <c r="Q130" i="28"/>
  <c r="Q129" i="28"/>
  <c r="Q127" i="28"/>
  <c r="Q126" i="28"/>
  <c r="Q125" i="28"/>
  <c r="Q124" i="28"/>
  <c r="Q120" i="28"/>
  <c r="Q119" i="28"/>
  <c r="Q118" i="28"/>
  <c r="Q117" i="28"/>
  <c r="Q115" i="28"/>
  <c r="Q113" i="28"/>
  <c r="Q112" i="28"/>
  <c r="Q111" i="28"/>
  <c r="Q110" i="28"/>
  <c r="Q109" i="28"/>
  <c r="C99" i="28"/>
  <c r="B149" i="28"/>
  <c r="D148" i="28"/>
  <c r="B148" i="28"/>
  <c r="B145" i="28"/>
  <c r="D144" i="28"/>
  <c r="B144" i="28"/>
  <c r="B143" i="28"/>
  <c r="B142" i="28"/>
  <c r="B141" i="28"/>
  <c r="B140" i="28"/>
  <c r="D139" i="28"/>
  <c r="B139" i="28"/>
  <c r="B138" i="28"/>
  <c r="B137" i="28"/>
  <c r="B136" i="28"/>
  <c r="B135" i="28"/>
  <c r="B134" i="28"/>
  <c r="B133" i="28"/>
  <c r="D132" i="28"/>
  <c r="B132" i="28"/>
  <c r="B131" i="28"/>
  <c r="B130" i="28"/>
  <c r="B129" i="28"/>
  <c r="D128" i="28"/>
  <c r="B128" i="28"/>
  <c r="B127" i="28"/>
  <c r="B126" i="28"/>
  <c r="B125" i="28"/>
  <c r="B124" i="28"/>
  <c r="B123" i="28"/>
  <c r="B122" i="28"/>
  <c r="D121" i="28"/>
  <c r="B121" i="28"/>
  <c r="B120" i="28"/>
  <c r="B119" i="28"/>
  <c r="B118" i="28"/>
  <c r="B117" i="28"/>
  <c r="D116" i="28"/>
  <c r="B116" i="28"/>
  <c r="B115" i="28"/>
  <c r="B113" i="28"/>
  <c r="B112" i="28"/>
  <c r="B111" i="28"/>
  <c r="B110" i="28"/>
  <c r="B109" i="28"/>
  <c r="D108" i="28"/>
  <c r="B108" i="28"/>
  <c r="S98" i="28"/>
  <c r="S67" i="28"/>
  <c r="S66" i="28"/>
  <c r="S65" i="28"/>
  <c r="S64" i="28"/>
  <c r="S63" i="28"/>
  <c r="S62" i="28"/>
  <c r="Q98" i="28"/>
  <c r="Q84" i="28"/>
  <c r="Q76" i="28"/>
  <c r="Q71" i="28"/>
  <c r="Q70" i="28"/>
  <c r="Q69" i="28"/>
  <c r="Q67" i="28"/>
  <c r="Q66" i="28"/>
  <c r="Q65" i="28"/>
  <c r="Q64" i="28"/>
  <c r="Q62" i="28"/>
  <c r="Q63" i="28"/>
  <c r="D99" i="28"/>
  <c r="B99" i="28"/>
  <c r="B98" i="28"/>
  <c r="B92" i="28"/>
  <c r="B91" i="28"/>
  <c r="B90" i="28"/>
  <c r="B89" i="28"/>
  <c r="D88" i="28"/>
  <c r="B88" i="28"/>
  <c r="B84" i="28"/>
  <c r="D83" i="28"/>
  <c r="B83" i="28"/>
  <c r="B76" i="28"/>
  <c r="D75" i="28"/>
  <c r="B75" i="28"/>
  <c r="B71" i="28"/>
  <c r="B70" i="28"/>
  <c r="B69" i="28"/>
  <c r="D68" i="28"/>
  <c r="B68" i="28"/>
  <c r="B63" i="28"/>
  <c r="D61" i="28"/>
  <c r="B62" i="28"/>
  <c r="B61" i="28"/>
  <c r="S45" i="28"/>
  <c r="S44" i="28"/>
  <c r="Q52" i="28"/>
  <c r="Q50" i="28"/>
  <c r="Q49" i="28"/>
  <c r="Q48" i="28"/>
  <c r="Q45" i="28"/>
  <c r="Q44" i="28"/>
  <c r="Q53" i="28"/>
  <c r="D51" i="28"/>
  <c r="D48" i="28"/>
  <c r="D47" i="28"/>
  <c r="B53" i="28"/>
  <c r="B52" i="28"/>
  <c r="B51" i="28"/>
  <c r="B50" i="28"/>
  <c r="A1" i="3"/>
  <c r="AE334" i="6"/>
  <c r="AC335" i="6" s="1"/>
  <c r="AE333" i="6"/>
  <c r="AE343" i="6" s="1"/>
  <c r="AR361" i="6"/>
  <c r="AR360" i="6"/>
  <c r="AR359" i="6"/>
  <c r="AR358" i="6"/>
  <c r="B399" i="6"/>
  <c r="B398" i="6"/>
  <c r="C52" i="16"/>
  <c r="D52" i="16"/>
  <c r="P35" i="28" s="1"/>
  <c r="AI390" i="6"/>
  <c r="AH390" i="6"/>
  <c r="AN356" i="6"/>
  <c r="AN357" i="6"/>
  <c r="AN358" i="6" s="1"/>
  <c r="AN359" i="6" s="1"/>
  <c r="AN360" i="6" s="1"/>
  <c r="AN361" i="6" s="1"/>
  <c r="AN362" i="6" s="1"/>
  <c r="J84" i="17"/>
  <c r="B363" i="6"/>
  <c r="B362" i="6"/>
  <c r="B361" i="6"/>
  <c r="L84" i="17"/>
  <c r="L82" i="17"/>
  <c r="P250" i="6"/>
  <c r="P251" i="6"/>
  <c r="B497" i="6"/>
  <c r="B496" i="6"/>
  <c r="Z356" i="6"/>
  <c r="Z357" i="6"/>
  <c r="B436" i="6"/>
  <c r="B435" i="6"/>
  <c r="B434" i="6"/>
  <c r="B433" i="6"/>
  <c r="B432" i="6"/>
  <c r="C431" i="6"/>
  <c r="B118" i="6" s="1"/>
  <c r="B431" i="6"/>
  <c r="B429" i="6"/>
  <c r="B428" i="6"/>
  <c r="B427" i="6"/>
  <c r="C426" i="6"/>
  <c r="B426" i="6"/>
  <c r="B425" i="6"/>
  <c r="B424" i="6"/>
  <c r="B423" i="6"/>
  <c r="B422" i="6"/>
  <c r="B421" i="6"/>
  <c r="B420" i="6"/>
  <c r="C420" i="6"/>
  <c r="C492" i="6"/>
  <c r="B140" i="6" s="1"/>
  <c r="C485" i="6"/>
  <c r="B134" i="6" s="1"/>
  <c r="C479" i="6"/>
  <c r="B133" i="6" s="1"/>
  <c r="B495" i="6"/>
  <c r="B494" i="6"/>
  <c r="B493" i="6"/>
  <c r="B492" i="6"/>
  <c r="B490" i="6"/>
  <c r="B489" i="6"/>
  <c r="B488" i="6"/>
  <c r="B487" i="6"/>
  <c r="B486" i="6"/>
  <c r="B485" i="6"/>
  <c r="B483" i="6"/>
  <c r="B482" i="6"/>
  <c r="B481" i="6"/>
  <c r="B480" i="6"/>
  <c r="B479" i="6"/>
  <c r="C419" i="6"/>
  <c r="W419" i="6" s="1"/>
  <c r="C236" i="6" s="1"/>
  <c r="B455" i="6"/>
  <c r="B454" i="6"/>
  <c r="B453" i="6"/>
  <c r="B452" i="6"/>
  <c r="C451" i="6"/>
  <c r="U256" i="6" s="1"/>
  <c r="B451" i="6"/>
  <c r="B449" i="6"/>
  <c r="B448" i="6"/>
  <c r="B447" i="6"/>
  <c r="B446" i="6"/>
  <c r="C445" i="6"/>
  <c r="B123" i="6" s="1"/>
  <c r="B445" i="6"/>
  <c r="B406" i="6"/>
  <c r="B405" i="6"/>
  <c r="B396" i="6"/>
  <c r="B395" i="6"/>
  <c r="B394" i="6"/>
  <c r="B393" i="6"/>
  <c r="B392" i="6"/>
  <c r="B390" i="6"/>
  <c r="B389" i="6"/>
  <c r="B388" i="6"/>
  <c r="B387" i="6"/>
  <c r="B386" i="6"/>
  <c r="B385" i="6"/>
  <c r="B384" i="6"/>
  <c r="B382" i="6"/>
  <c r="B381" i="6"/>
  <c r="B380" i="6"/>
  <c r="B379" i="6"/>
  <c r="B377" i="6"/>
  <c r="B376" i="6"/>
  <c r="B375" i="6"/>
  <c r="B374" i="6"/>
  <c r="B373" i="6"/>
  <c r="B372" i="6"/>
  <c r="B371" i="6"/>
  <c r="B369" i="6"/>
  <c r="B368" i="6"/>
  <c r="B367" i="6"/>
  <c r="B366" i="6"/>
  <c r="B365" i="6"/>
  <c r="B360" i="6"/>
  <c r="B359" i="6"/>
  <c r="B358" i="6"/>
  <c r="B357" i="6"/>
  <c r="B356" i="6"/>
  <c r="B114" i="6"/>
  <c r="C344" i="6"/>
  <c r="B61" i="6" s="1"/>
  <c r="B344" i="6"/>
  <c r="B342" i="6"/>
  <c r="B341" i="6"/>
  <c r="B340" i="6"/>
  <c r="B339" i="6"/>
  <c r="B338" i="6"/>
  <c r="B337" i="6"/>
  <c r="B336" i="6"/>
  <c r="B335" i="6"/>
  <c r="B334" i="6"/>
  <c r="C333" i="6"/>
  <c r="W305" i="6" s="1"/>
  <c r="C224" i="6" s="1"/>
  <c r="B333" i="6"/>
  <c r="C327" i="6"/>
  <c r="B47" i="6" s="1"/>
  <c r="B327" i="6"/>
  <c r="B319" i="6"/>
  <c r="C318" i="6"/>
  <c r="U253" i="6" s="1"/>
  <c r="B318" i="6"/>
  <c r="B313" i="6"/>
  <c r="B312" i="6"/>
  <c r="C310" i="6"/>
  <c r="B37" i="6" s="1"/>
  <c r="B311" i="6"/>
  <c r="B310" i="6"/>
  <c r="B303" i="6"/>
  <c r="B302" i="6"/>
  <c r="C301" i="6"/>
  <c r="U251" i="6" s="1"/>
  <c r="B301" i="6"/>
  <c r="C290" i="6"/>
  <c r="B20" i="6" s="1"/>
  <c r="B294" i="6"/>
  <c r="B293" i="6"/>
  <c r="B292" i="6"/>
  <c r="B291" i="6"/>
  <c r="B290" i="6"/>
  <c r="C17" i="6"/>
  <c r="C286" i="6"/>
  <c r="U250" i="6" s="1"/>
  <c r="B288" i="6"/>
  <c r="B287" i="6"/>
  <c r="B286" i="6"/>
  <c r="B284" i="6"/>
  <c r="B283" i="6"/>
  <c r="B282" i="6"/>
  <c r="C281" i="6"/>
  <c r="U249" i="6" s="1"/>
  <c r="B281" i="6"/>
  <c r="B279" i="6"/>
  <c r="B278" i="6"/>
  <c r="C276" i="6"/>
  <c r="B11" i="6" s="1"/>
  <c r="B276" i="6"/>
  <c r="B43" i="28" s="1"/>
  <c r="C41" i="3"/>
  <c r="B27" i="28" s="1"/>
  <c r="C40" i="3"/>
  <c r="B26" i="28" s="1"/>
  <c r="C38" i="3"/>
  <c r="B24" i="28" s="1"/>
  <c r="C48" i="2"/>
  <c r="C46" i="2"/>
  <c r="C45" i="2"/>
  <c r="C44" i="2"/>
  <c r="C43" i="2"/>
  <c r="C42" i="2"/>
  <c r="B42" i="2"/>
  <c r="B254" i="6"/>
  <c r="B43" i="2" s="1"/>
  <c r="B40" i="2"/>
  <c r="B39" i="2"/>
  <c r="B38" i="2"/>
  <c r="C36" i="3"/>
  <c r="B22" i="28" s="1"/>
  <c r="C37" i="3"/>
  <c r="B23" i="28" s="1"/>
  <c r="D62" i="9"/>
  <c r="B255" i="6"/>
  <c r="AE426" i="6"/>
  <c r="AE425" i="6"/>
  <c r="D441" i="6"/>
  <c r="C441" i="6"/>
  <c r="Z419" i="6"/>
  <c r="Z420" i="6" s="1"/>
  <c r="AR362" i="6"/>
  <c r="AR357" i="6"/>
  <c r="AR356" i="6"/>
  <c r="AR355" i="6"/>
  <c r="J245" i="6"/>
  <c r="J241" i="6"/>
  <c r="J244" i="6"/>
  <c r="J243" i="6"/>
  <c r="J240" i="6"/>
  <c r="J236" i="6"/>
  <c r="J233" i="6"/>
  <c r="J232" i="6"/>
  <c r="J231" i="6"/>
  <c r="J230" i="6"/>
  <c r="J229" i="6"/>
  <c r="J227" i="6"/>
  <c r="J237" i="6"/>
  <c r="J225" i="6"/>
  <c r="J224" i="6"/>
  <c r="J223" i="6"/>
  <c r="J222" i="6"/>
  <c r="J221" i="6"/>
  <c r="J220" i="6"/>
  <c r="K220" i="6" s="1"/>
  <c r="L220" i="6" s="1"/>
  <c r="J218" i="6"/>
  <c r="J217" i="6"/>
  <c r="J216" i="6"/>
  <c r="J215" i="6"/>
  <c r="K215" i="6" s="1"/>
  <c r="I5" i="2" s="1"/>
  <c r="AC75" i="9"/>
  <c r="AC59" i="9"/>
  <c r="AC50" i="9"/>
  <c r="AC42" i="9"/>
  <c r="AZ78" i="17"/>
  <c r="N218" i="6"/>
  <c r="N217" i="6"/>
  <c r="N216" i="6"/>
  <c r="N215" i="6"/>
  <c r="N225" i="6"/>
  <c r="N224" i="6"/>
  <c r="N223" i="6"/>
  <c r="N222" i="6"/>
  <c r="N221" i="6"/>
  <c r="N220" i="6"/>
  <c r="N237" i="6"/>
  <c r="N236" i="6"/>
  <c r="N241" i="6"/>
  <c r="N240" i="6"/>
  <c r="N245" i="6"/>
  <c r="BV12" i="9"/>
  <c r="AB20" i="12"/>
  <c r="AB21" i="12"/>
  <c r="W11" i="24"/>
  <c r="W12" i="11"/>
  <c r="W12" i="12"/>
  <c r="V13" i="7"/>
  <c r="E5" i="23"/>
  <c r="F5" i="23" s="1"/>
  <c r="G5" i="23" s="1"/>
  <c r="H5" i="23" s="1"/>
  <c r="I5" i="23" s="1"/>
  <c r="J5" i="23" s="1"/>
  <c r="K5" i="23" s="1"/>
  <c r="L5" i="23" s="1"/>
  <c r="M5" i="23" s="1"/>
  <c r="N5" i="23" s="1"/>
  <c r="E5" i="24"/>
  <c r="BQ13" i="3"/>
  <c r="C96" i="3"/>
  <c r="C126" i="3"/>
  <c r="C125" i="3"/>
  <c r="C124" i="3"/>
  <c r="C123" i="3"/>
  <c r="C122" i="3"/>
  <c r="C121" i="3"/>
  <c r="C120" i="3"/>
  <c r="C119" i="3"/>
  <c r="C118" i="3"/>
  <c r="C117" i="3"/>
  <c r="C109" i="3"/>
  <c r="C108" i="3"/>
  <c r="C107" i="3"/>
  <c r="C106" i="3"/>
  <c r="C105" i="3"/>
  <c r="C104" i="3"/>
  <c r="C103" i="3"/>
  <c r="C102" i="3"/>
  <c r="C101" i="3"/>
  <c r="J1" i="22"/>
  <c r="U51" i="17"/>
  <c r="T51" i="17"/>
  <c r="D51" i="3"/>
  <c r="E51" i="3"/>
  <c r="F51" i="3" s="1"/>
  <c r="G51" i="3" s="1"/>
  <c r="H51" i="3" s="1"/>
  <c r="I51" i="3" s="1"/>
  <c r="J51" i="3" s="1"/>
  <c r="K51" i="3" s="1"/>
  <c r="L51" i="3" s="1"/>
  <c r="M51" i="3" s="1"/>
  <c r="AA5" i="3"/>
  <c r="G5" i="3"/>
  <c r="E8" i="11"/>
  <c r="F8" i="11" s="1"/>
  <c r="G8" i="11" s="1"/>
  <c r="H8" i="11" s="1"/>
  <c r="I8" i="11" s="1"/>
  <c r="J8" i="11" s="1"/>
  <c r="K8" i="11" s="1"/>
  <c r="L8" i="11" s="1"/>
  <c r="M8" i="11" s="1"/>
  <c r="N8" i="11" s="1"/>
  <c r="P13" i="11" s="1"/>
  <c r="M233" i="6"/>
  <c r="M232" i="6"/>
  <c r="M231" i="6"/>
  <c r="M230" i="6"/>
  <c r="M229" i="6"/>
  <c r="M228" i="6"/>
  <c r="M227" i="6"/>
  <c r="D233" i="6"/>
  <c r="D232" i="6"/>
  <c r="D231" i="6"/>
  <c r="D230" i="6"/>
  <c r="D229" i="6"/>
  <c r="D228" i="6"/>
  <c r="D245" i="6"/>
  <c r="D244" i="6"/>
  <c r="D243" i="6"/>
  <c r="D240" i="6"/>
  <c r="D237" i="6"/>
  <c r="D236" i="6"/>
  <c r="D227" i="6"/>
  <c r="D224" i="6"/>
  <c r="D223" i="6"/>
  <c r="D241" i="6"/>
  <c r="S119" i="28"/>
  <c r="O243" i="6"/>
  <c r="O240" i="6"/>
  <c r="O236" i="6"/>
  <c r="O227" i="6"/>
  <c r="O220" i="6"/>
  <c r="O215" i="6"/>
  <c r="B228" i="6"/>
  <c r="O228" i="6" s="1"/>
  <c r="AJ78" i="17"/>
  <c r="AB78" i="17"/>
  <c r="T78" i="17"/>
  <c r="L77" i="17"/>
  <c r="S26" i="17"/>
  <c r="R26" i="17"/>
  <c r="Q26" i="17"/>
  <c r="B229" i="6"/>
  <c r="O229" i="6" s="1"/>
  <c r="O13" i="24"/>
  <c r="O10" i="24"/>
  <c r="O7" i="24"/>
  <c r="F5" i="24"/>
  <c r="G5" i="24" s="1"/>
  <c r="H5" i="24" s="1"/>
  <c r="I5" i="24" s="1"/>
  <c r="J5" i="24" s="1"/>
  <c r="K5" i="24" s="1"/>
  <c r="L5" i="24" s="1"/>
  <c r="M5" i="24" s="1"/>
  <c r="N5" i="24" s="1"/>
  <c r="O5" i="24" s="1"/>
  <c r="B230" i="6"/>
  <c r="E8" i="12"/>
  <c r="F8" i="12" s="1"/>
  <c r="G8" i="12" s="1"/>
  <c r="H8" i="12" s="1"/>
  <c r="I8" i="12" s="1"/>
  <c r="J8" i="12" s="1"/>
  <c r="K8" i="12" s="1"/>
  <c r="A2" i="12" s="1"/>
  <c r="E7" i="9"/>
  <c r="F7" i="9" s="1"/>
  <c r="G7" i="9" s="1"/>
  <c r="H7" i="9" s="1"/>
  <c r="I7" i="9" s="1"/>
  <c r="J7" i="9" s="1"/>
  <c r="K7" i="9" s="1"/>
  <c r="L7" i="9" s="1"/>
  <c r="M7" i="9" s="1"/>
  <c r="N7" i="9" s="1"/>
  <c r="BL2" i="23"/>
  <c r="C13" i="12"/>
  <c r="Z479" i="6"/>
  <c r="Z480" i="6" s="1"/>
  <c r="Z443" i="6"/>
  <c r="Z444" i="6" s="1"/>
  <c r="Z301" i="6"/>
  <c r="Z302" i="6" s="1"/>
  <c r="Z276" i="6"/>
  <c r="Z277" i="6" s="1"/>
  <c r="A38" i="22"/>
  <c r="A34" i="22"/>
  <c r="A19" i="22"/>
  <c r="A10" i="22"/>
  <c r="A4" i="22"/>
  <c r="A36" i="22"/>
  <c r="A21" i="22"/>
  <c r="A14" i="22"/>
  <c r="A15" i="22"/>
  <c r="A16" i="22"/>
  <c r="A17" i="22"/>
  <c r="A18" i="22"/>
  <c r="A13" i="22"/>
  <c r="B216" i="6"/>
  <c r="B217" i="6" s="1"/>
  <c r="B221" i="6"/>
  <c r="O221" i="6" s="1"/>
  <c r="B237" i="6"/>
  <c r="B241" i="6"/>
  <c r="O241" i="6"/>
  <c r="P240" i="6" s="1"/>
  <c r="B244" i="6"/>
  <c r="B245" i="6" s="1"/>
  <c r="O245" i="6" s="1"/>
  <c r="I39" i="16"/>
  <c r="I41" i="16"/>
  <c r="I42" i="16" s="1"/>
  <c r="I43" i="16" s="1"/>
  <c r="I47" i="16"/>
  <c r="I48" i="16" s="1"/>
  <c r="I52" i="16" s="1"/>
  <c r="O237" i="6"/>
  <c r="P236" i="6" s="1"/>
  <c r="O216" i="6"/>
  <c r="V5" i="3"/>
  <c r="B5" i="3"/>
  <c r="G6" i="3"/>
  <c r="B6" i="3"/>
  <c r="AA4" i="3"/>
  <c r="V4" i="3"/>
  <c r="G4" i="3"/>
  <c r="B4" i="3"/>
  <c r="I33" i="16"/>
  <c r="I34" i="16" s="1"/>
  <c r="I32" i="16"/>
  <c r="AQ88" i="17"/>
  <c r="AQ87" i="17"/>
  <c r="AQ86" i="17"/>
  <c r="AQ85" i="17"/>
  <c r="AQ84" i="17"/>
  <c r="AQ83" i="17"/>
  <c r="AP88" i="17"/>
  <c r="AP87" i="17"/>
  <c r="AP86" i="17"/>
  <c r="AP85" i="17"/>
  <c r="AA84" i="17"/>
  <c r="AA83" i="17"/>
  <c r="AA82" i="17"/>
  <c r="AA81" i="17"/>
  <c r="AA80" i="17"/>
  <c r="AA79" i="17"/>
  <c r="S82" i="17"/>
  <c r="S81" i="17"/>
  <c r="S80" i="17"/>
  <c r="S79" i="17"/>
  <c r="K119" i="17"/>
  <c r="K118" i="17"/>
  <c r="K117" i="17"/>
  <c r="K116" i="17"/>
  <c r="K115" i="17"/>
  <c r="K114" i="17"/>
  <c r="J119" i="17"/>
  <c r="J118" i="17"/>
  <c r="J117" i="17"/>
  <c r="J116" i="17"/>
  <c r="J122" i="17"/>
  <c r="J125" i="17" s="1"/>
  <c r="J94" i="17"/>
  <c r="J93" i="17"/>
  <c r="J92" i="17"/>
  <c r="J91" i="17"/>
  <c r="J90" i="17"/>
  <c r="J89" i="17"/>
  <c r="J96" i="17"/>
  <c r="L81" i="17"/>
  <c r="L80" i="17"/>
  <c r="L79" i="17"/>
  <c r="L78" i="17"/>
  <c r="M244" i="6"/>
  <c r="M245" i="6"/>
  <c r="M243" i="6"/>
  <c r="M241" i="6"/>
  <c r="M240" i="6"/>
  <c r="M236" i="6"/>
  <c r="M237" i="6"/>
  <c r="M221" i="6"/>
  <c r="M222" i="6"/>
  <c r="M223" i="6"/>
  <c r="M224" i="6"/>
  <c r="M225" i="6"/>
  <c r="M220" i="6"/>
  <c r="N36" i="17"/>
  <c r="M36" i="17"/>
  <c r="N35" i="17"/>
  <c r="M35" i="17"/>
  <c r="L36" i="17"/>
  <c r="L35" i="17"/>
  <c r="C36" i="12"/>
  <c r="C193" i="28" s="1"/>
  <c r="Q13" i="11"/>
  <c r="D221" i="6"/>
  <c r="D222" i="6"/>
  <c r="L110" i="17"/>
  <c r="C76" i="28"/>
  <c r="C62" i="9"/>
  <c r="L68" i="17"/>
  <c r="BG79" i="17"/>
  <c r="BH79" i="17"/>
  <c r="BW79" i="17"/>
  <c r="BX79" i="17"/>
  <c r="AQ79" i="17"/>
  <c r="K110" i="17"/>
  <c r="AP79" i="17"/>
  <c r="J86" i="17"/>
  <c r="AI79" i="17"/>
  <c r="K92" i="17"/>
  <c r="AY79" i="17"/>
  <c r="AX79" i="17"/>
  <c r="BH80" i="17"/>
  <c r="BG80" i="17"/>
  <c r="AI81" i="17"/>
  <c r="K94" i="17"/>
  <c r="J88" i="17"/>
  <c r="R80" i="17"/>
  <c r="R82" i="17"/>
  <c r="AI80" i="17"/>
  <c r="BW81" i="17"/>
  <c r="BX81" i="17"/>
  <c r="C44" i="12"/>
  <c r="C200" i="28" s="1"/>
  <c r="M216" i="6"/>
  <c r="M217" i="6"/>
  <c r="M218" i="6"/>
  <c r="M215" i="6"/>
  <c r="BO79" i="17"/>
  <c r="BX83" i="17"/>
  <c r="C31" i="12"/>
  <c r="C189" i="28" s="1"/>
  <c r="C71" i="28"/>
  <c r="E126" i="3"/>
  <c r="E125" i="3"/>
  <c r="C99" i="3"/>
  <c r="C98" i="3"/>
  <c r="E102" i="3"/>
  <c r="E106" i="3"/>
  <c r="E104" i="3"/>
  <c r="E99" i="3"/>
  <c r="D215" i="6"/>
  <c r="D217" i="6"/>
  <c r="D216" i="6"/>
  <c r="D225" i="6"/>
  <c r="BB38" i="9"/>
  <c r="D220" i="6"/>
  <c r="I199" i="6"/>
  <c r="I200" i="6" s="1"/>
  <c r="I201" i="6" s="1"/>
  <c r="I202" i="6"/>
  <c r="I203" i="6" s="1"/>
  <c r="I204" i="6" s="1"/>
  <c r="I205" i="6" s="1"/>
  <c r="I206" i="6" s="1"/>
  <c r="I207" i="6" s="1"/>
  <c r="N198" i="6"/>
  <c r="N199" i="6" s="1"/>
  <c r="B199" i="6"/>
  <c r="B200" i="6" s="1"/>
  <c r="B201" i="6" s="1"/>
  <c r="B202" i="6" s="1"/>
  <c r="B203" i="6" s="1"/>
  <c r="J199" i="6"/>
  <c r="C251" i="6"/>
  <c r="C40" i="2" s="1"/>
  <c r="C249" i="6"/>
  <c r="C38" i="2" s="1"/>
  <c r="C250" i="6"/>
  <c r="C39" i="2" s="1"/>
  <c r="D19" i="16" s="1"/>
  <c r="AG367" i="6" l="1"/>
  <c r="AG368" i="6" s="1"/>
  <c r="D85" i="6" s="1"/>
  <c r="G153" i="17"/>
  <c r="C153" i="17" s="1"/>
  <c r="C37" i="11" s="1"/>
  <c r="C152" i="17"/>
  <c r="C36" i="11" s="1"/>
  <c r="G482" i="6"/>
  <c r="Q482" i="6" s="1"/>
  <c r="O244" i="6"/>
  <c r="P243" i="6" s="1"/>
  <c r="D18" i="16"/>
  <c r="C18" i="16" s="1"/>
  <c r="C19" i="16" s="1"/>
  <c r="B222" i="6"/>
  <c r="L8" i="12"/>
  <c r="M8" i="12" s="1"/>
  <c r="N8" i="12" s="1"/>
  <c r="E118" i="3"/>
  <c r="B48" i="6"/>
  <c r="D49" i="28"/>
  <c r="E65" i="6"/>
  <c r="E49" i="6"/>
  <c r="G293" i="6"/>
  <c r="H293" i="6" s="1"/>
  <c r="AB79" i="17"/>
  <c r="C402" i="6"/>
  <c r="C163" i="17"/>
  <c r="C37" i="12" s="1"/>
  <c r="C194" i="28" s="1"/>
  <c r="G69" i="17"/>
  <c r="G13" i="17"/>
  <c r="G14" i="17" s="1"/>
  <c r="C14" i="17" s="1"/>
  <c r="C112" i="17"/>
  <c r="K111" i="17" s="1"/>
  <c r="G486" i="6"/>
  <c r="I486" i="6" s="1"/>
  <c r="S486" i="6" s="1"/>
  <c r="G494" i="6"/>
  <c r="I494" i="6" s="1"/>
  <c r="B14" i="22"/>
  <c r="C61" i="22" s="1"/>
  <c r="G284" i="6"/>
  <c r="Q284" i="6" s="1"/>
  <c r="F187" i="6"/>
  <c r="F277" i="6"/>
  <c r="G277" i="6" s="1"/>
  <c r="Q277" i="6" s="1"/>
  <c r="G489" i="6"/>
  <c r="BP79" i="17"/>
  <c r="E134" i="6"/>
  <c r="AR79" i="17"/>
  <c r="G165" i="17"/>
  <c r="G166" i="17" s="1"/>
  <c r="C166" i="17" s="1"/>
  <c r="C40" i="12" s="1"/>
  <c r="C197" i="28" s="1"/>
  <c r="G481" i="6"/>
  <c r="J481" i="6" s="1"/>
  <c r="G488" i="6"/>
  <c r="G496" i="6"/>
  <c r="G493" i="6"/>
  <c r="G288" i="6"/>
  <c r="I288" i="6" s="1"/>
  <c r="R288" i="6" s="1"/>
  <c r="O40" i="22"/>
  <c r="K93" i="17"/>
  <c r="C97" i="3"/>
  <c r="E124" i="3"/>
  <c r="E125" i="6"/>
  <c r="D56" i="28"/>
  <c r="AJ80" i="17"/>
  <c r="G480" i="6"/>
  <c r="Q480" i="6" s="1"/>
  <c r="G487" i="6"/>
  <c r="H487" i="6" s="1"/>
  <c r="G495" i="6"/>
  <c r="G279" i="6"/>
  <c r="J279" i="6" s="1"/>
  <c r="F188" i="6"/>
  <c r="G330" i="6"/>
  <c r="H330" i="6" s="1"/>
  <c r="E252" i="6"/>
  <c r="T20" i="28" s="1"/>
  <c r="F291" i="6"/>
  <c r="G291" i="6" s="1"/>
  <c r="I291" i="6" s="1"/>
  <c r="R291" i="6" s="1"/>
  <c r="C19" i="6"/>
  <c r="D52" i="28"/>
  <c r="AE309" i="6"/>
  <c r="AF308" i="6" s="1"/>
  <c r="E105" i="3"/>
  <c r="D279" i="6"/>
  <c r="B143" i="6"/>
  <c r="X373" i="6"/>
  <c r="D50" i="28"/>
  <c r="E100" i="3"/>
  <c r="C23" i="16"/>
  <c r="N37" i="28"/>
  <c r="W361" i="6"/>
  <c r="C232" i="6" s="1"/>
  <c r="AZ361" i="6"/>
  <c r="B45" i="6"/>
  <c r="W301" i="6"/>
  <c r="C220" i="6" s="1"/>
  <c r="B100" i="6"/>
  <c r="AZ363" i="6"/>
  <c r="W358" i="6"/>
  <c r="AO357" i="6" s="1"/>
  <c r="AZ358" i="6"/>
  <c r="B95" i="6"/>
  <c r="AZ362" i="6"/>
  <c r="E122" i="3"/>
  <c r="W304" i="6"/>
  <c r="C223" i="6" s="1"/>
  <c r="W360" i="6"/>
  <c r="AO359" i="6" s="1"/>
  <c r="AZ360" i="6"/>
  <c r="W356" i="6"/>
  <c r="C227" i="6" s="1"/>
  <c r="AZ356" i="6"/>
  <c r="AF427" i="6"/>
  <c r="B16" i="6"/>
  <c r="W357" i="6"/>
  <c r="C228" i="6" s="1"/>
  <c r="AZ357" i="6"/>
  <c r="B46" i="6"/>
  <c r="B29" i="6"/>
  <c r="B116" i="6"/>
  <c r="B102" i="6"/>
  <c r="B117" i="6"/>
  <c r="B75" i="6"/>
  <c r="B115" i="6"/>
  <c r="W420" i="6"/>
  <c r="C237" i="6" s="1"/>
  <c r="W480" i="6"/>
  <c r="C245" i="6" s="1"/>
  <c r="B119" i="6"/>
  <c r="W275" i="6"/>
  <c r="C215" i="6" s="1"/>
  <c r="C18" i="6"/>
  <c r="G490" i="6"/>
  <c r="J490" i="6" s="1"/>
  <c r="B55" i="6"/>
  <c r="B27" i="6"/>
  <c r="B90" i="6"/>
  <c r="B121" i="6"/>
  <c r="C13" i="6"/>
  <c r="B91" i="6"/>
  <c r="J250" i="6"/>
  <c r="B50" i="6"/>
  <c r="D293" i="6"/>
  <c r="B74" i="6"/>
  <c r="B112" i="6"/>
  <c r="B68" i="6"/>
  <c r="B62" i="6"/>
  <c r="B85" i="6"/>
  <c r="B66" i="6"/>
  <c r="B38" i="6"/>
  <c r="B35" i="6"/>
  <c r="B88" i="6"/>
  <c r="B70" i="6"/>
  <c r="AI332" i="6"/>
  <c r="B33" i="6"/>
  <c r="W278" i="6"/>
  <c r="C218" i="6" s="1"/>
  <c r="D284" i="6"/>
  <c r="B98" i="6"/>
  <c r="W444" i="6"/>
  <c r="C241" i="6" s="1"/>
  <c r="B124" i="6"/>
  <c r="B104" i="6"/>
  <c r="B81" i="6"/>
  <c r="B127" i="6"/>
  <c r="I29" i="2"/>
  <c r="E445" i="6" s="1"/>
  <c r="D291" i="6"/>
  <c r="B128" i="6"/>
  <c r="W443" i="6"/>
  <c r="C240" i="6" s="1"/>
  <c r="K250" i="6"/>
  <c r="R486" i="6"/>
  <c r="C80" i="22"/>
  <c r="B38" i="22"/>
  <c r="B168" i="22" s="1"/>
  <c r="N169" i="22" s="1"/>
  <c r="I10" i="2"/>
  <c r="E301" i="6" s="1"/>
  <c r="B132" i="22"/>
  <c r="N133" i="22" s="1"/>
  <c r="B59" i="22"/>
  <c r="H494" i="6"/>
  <c r="B13" i="6"/>
  <c r="B36" i="6"/>
  <c r="B107" i="6"/>
  <c r="B41" i="6"/>
  <c r="W302" i="6"/>
  <c r="C221" i="6" s="1"/>
  <c r="B131" i="6"/>
  <c r="B109" i="6"/>
  <c r="AT88" i="17"/>
  <c r="D288" i="6"/>
  <c r="B39" i="6"/>
  <c r="B32" i="6"/>
  <c r="C15" i="6"/>
  <c r="B52" i="6"/>
  <c r="B12" i="6"/>
  <c r="U252" i="6"/>
  <c r="B72" i="6"/>
  <c r="B92" i="6"/>
  <c r="B89" i="6"/>
  <c r="B80" i="6"/>
  <c r="B79" i="6"/>
  <c r="B137" i="6"/>
  <c r="B122" i="6"/>
  <c r="B132" i="6"/>
  <c r="B113" i="6"/>
  <c r="B111" i="6"/>
  <c r="U255" i="6"/>
  <c r="AL80" i="17"/>
  <c r="C63" i="23" s="1"/>
  <c r="C130" i="28" s="1"/>
  <c r="E101" i="3"/>
  <c r="B42" i="6"/>
  <c r="B60" i="6"/>
  <c r="B94" i="6"/>
  <c r="B76" i="6"/>
  <c r="B78" i="6"/>
  <c r="L236" i="6"/>
  <c r="D43" i="28"/>
  <c r="D287" i="6"/>
  <c r="B43" i="6"/>
  <c r="B34" i="6"/>
  <c r="D283" i="6"/>
  <c r="C16" i="6"/>
  <c r="B73" i="6"/>
  <c r="B93" i="6"/>
  <c r="B87" i="6"/>
  <c r="B86" i="6"/>
  <c r="B77" i="6"/>
  <c r="B108" i="6"/>
  <c r="B110" i="6"/>
  <c r="E115" i="6"/>
  <c r="BJ80" i="17"/>
  <c r="C34" i="24" s="1"/>
  <c r="C159" i="28" s="1"/>
  <c r="E419" i="6"/>
  <c r="Y118" i="3"/>
  <c r="C84" i="22"/>
  <c r="O42" i="22"/>
  <c r="C111" i="3"/>
  <c r="A23" i="22"/>
  <c r="C20" i="2"/>
  <c r="C79" i="22"/>
  <c r="O36" i="22"/>
  <c r="E121" i="3"/>
  <c r="O32" i="22"/>
  <c r="B75" i="22"/>
  <c r="E108" i="3"/>
  <c r="E120" i="3"/>
  <c r="E97" i="3"/>
  <c r="P241" i="6"/>
  <c r="K241" i="6" s="1"/>
  <c r="E117" i="3"/>
  <c r="A9" i="22"/>
  <c r="L215" i="6"/>
  <c r="A22" i="22"/>
  <c r="C110" i="3"/>
  <c r="B159" i="22"/>
  <c r="N160" i="22" s="1"/>
  <c r="E441" i="6"/>
  <c r="AC387" i="6"/>
  <c r="AC389" i="6"/>
  <c r="AC385" i="6"/>
  <c r="AC388" i="6"/>
  <c r="AC386" i="6"/>
  <c r="C48" i="6"/>
  <c r="D86" i="28"/>
  <c r="D331" i="6"/>
  <c r="C178" i="28"/>
  <c r="C176" i="28"/>
  <c r="B256" i="6"/>
  <c r="B44" i="2"/>
  <c r="C294" i="6"/>
  <c r="D58" i="28"/>
  <c r="C70" i="28"/>
  <c r="C328" i="6"/>
  <c r="C31" i="3"/>
  <c r="B18" i="28" s="1"/>
  <c r="O217" i="6"/>
  <c r="B218" i="6"/>
  <c r="O218" i="6" s="1"/>
  <c r="AH457" i="6"/>
  <c r="AG458" i="6" s="1"/>
  <c r="AH458" i="6" s="1"/>
  <c r="AG459" i="6" s="1"/>
  <c r="AH459" i="6" s="1"/>
  <c r="D214" i="6"/>
  <c r="C30" i="3"/>
  <c r="B17" i="28" s="1"/>
  <c r="B231" i="6"/>
  <c r="O230" i="6"/>
  <c r="C21" i="2"/>
  <c r="C112" i="3"/>
  <c r="A24" i="22"/>
  <c r="E480" i="6"/>
  <c r="E130" i="6"/>
  <c r="C139" i="17"/>
  <c r="G140" i="17"/>
  <c r="C140" i="17" s="1"/>
  <c r="C97" i="17"/>
  <c r="G98" i="17"/>
  <c r="F345" i="6"/>
  <c r="G345" i="6" s="1"/>
  <c r="E248" i="6"/>
  <c r="U45" i="17"/>
  <c r="U42" i="17"/>
  <c r="U43" i="17"/>
  <c r="W276" i="6"/>
  <c r="C216" i="6" s="1"/>
  <c r="B15" i="6"/>
  <c r="B28" i="6"/>
  <c r="B31" i="6"/>
  <c r="B30" i="6"/>
  <c r="H490" i="6"/>
  <c r="K243" i="6"/>
  <c r="N243" i="6"/>
  <c r="W362" i="6"/>
  <c r="B96" i="6"/>
  <c r="C278" i="6"/>
  <c r="D44" i="28"/>
  <c r="H287" i="6"/>
  <c r="BA11" i="7" s="1"/>
  <c r="Q287" i="6"/>
  <c r="I287" i="6"/>
  <c r="J287" i="6"/>
  <c r="C69" i="17"/>
  <c r="N68" i="17" s="1"/>
  <c r="G70" i="17"/>
  <c r="W359" i="6"/>
  <c r="B82" i="6"/>
  <c r="B84" i="6"/>
  <c r="C83" i="22"/>
  <c r="O41" i="22"/>
  <c r="I330" i="6"/>
  <c r="D20" i="16"/>
  <c r="C69" i="28"/>
  <c r="K86" i="17"/>
  <c r="J98" i="17" s="1"/>
  <c r="D76" i="9"/>
  <c r="B51" i="6"/>
  <c r="B26" i="6"/>
  <c r="C21" i="6"/>
  <c r="U254" i="6"/>
  <c r="W306" i="6"/>
  <c r="C225" i="6" s="1"/>
  <c r="B58" i="6"/>
  <c r="B59" i="6"/>
  <c r="B139" i="6"/>
  <c r="B141" i="6"/>
  <c r="B142" i="6"/>
  <c r="E139" i="6"/>
  <c r="G249" i="6"/>
  <c r="K249" i="6"/>
  <c r="J249" i="6"/>
  <c r="N244" i="6"/>
  <c r="E400" i="6"/>
  <c r="E95" i="6"/>
  <c r="F292" i="6"/>
  <c r="G292" i="6" s="1"/>
  <c r="C20" i="6"/>
  <c r="D292" i="6"/>
  <c r="F282" i="6"/>
  <c r="G282" i="6" s="1"/>
  <c r="F253" i="6" s="1"/>
  <c r="D282" i="6"/>
  <c r="G36" i="17"/>
  <c r="C35" i="17"/>
  <c r="C147" i="17"/>
  <c r="W363" i="6"/>
  <c r="B99" i="6"/>
  <c r="B101" i="6"/>
  <c r="B103" i="6"/>
  <c r="B71" i="6"/>
  <c r="B69" i="6"/>
  <c r="B67" i="6"/>
  <c r="B65" i="6"/>
  <c r="Q486" i="6"/>
  <c r="J486" i="6"/>
  <c r="B141" i="22"/>
  <c r="N142" i="22" s="1"/>
  <c r="B66" i="22"/>
  <c r="B33" i="22"/>
  <c r="E119" i="3"/>
  <c r="E276" i="6"/>
  <c r="Y97" i="3"/>
  <c r="E407" i="6"/>
  <c r="E98" i="6"/>
  <c r="E422" i="6"/>
  <c r="E107" i="6"/>
  <c r="C16" i="17"/>
  <c r="C35" i="9" s="1"/>
  <c r="G17" i="17"/>
  <c r="C182" i="28"/>
  <c r="V79" i="17"/>
  <c r="C48" i="23" s="1"/>
  <c r="E98" i="3"/>
  <c r="B18" i="6"/>
  <c r="B17" i="6"/>
  <c r="B22" i="6"/>
  <c r="B21" i="6"/>
  <c r="W479" i="6"/>
  <c r="C244" i="6" s="1"/>
  <c r="B135" i="6"/>
  <c r="B138" i="6"/>
  <c r="E373" i="6"/>
  <c r="E76" i="6"/>
  <c r="C113" i="17"/>
  <c r="G114" i="17"/>
  <c r="C114" i="17" s="1"/>
  <c r="G143" i="17"/>
  <c r="C143" i="17" s="1"/>
  <c r="C142" i="17"/>
  <c r="G78" i="17"/>
  <c r="C77" i="17"/>
  <c r="K79" i="17" s="1"/>
  <c r="R79" i="17"/>
  <c r="J251" i="6"/>
  <c r="H17" i="16"/>
  <c r="B19" i="6"/>
  <c r="W277" i="6"/>
  <c r="C217" i="6" s="1"/>
  <c r="B25" i="6"/>
  <c r="B14" i="6"/>
  <c r="B57" i="6"/>
  <c r="B54" i="6"/>
  <c r="B56" i="6"/>
  <c r="B49" i="6"/>
  <c r="B53" i="6"/>
  <c r="B83" i="6"/>
  <c r="B136" i="6"/>
  <c r="B126" i="6"/>
  <c r="B125" i="6"/>
  <c r="B97" i="6"/>
  <c r="A133" i="6"/>
  <c r="D57" i="28"/>
  <c r="K251" i="6"/>
  <c r="E447" i="6"/>
  <c r="C179" i="28"/>
  <c r="G156" i="17"/>
  <c r="C138" i="17"/>
  <c r="J489" i="6"/>
  <c r="I489" i="6"/>
  <c r="S489" i="6" s="1"/>
  <c r="Q489" i="6"/>
  <c r="S494" i="6"/>
  <c r="R494" i="6"/>
  <c r="S42" i="17"/>
  <c r="S43" i="17"/>
  <c r="B4" i="22"/>
  <c r="E96" i="3"/>
  <c r="V82" i="17"/>
  <c r="C51" i="23" s="1"/>
  <c r="B40" i="6"/>
  <c r="B44" i="6"/>
  <c r="W303" i="6"/>
  <c r="C222" i="6" s="1"/>
  <c r="B130" i="6"/>
  <c r="W478" i="6"/>
  <c r="C243" i="6" s="1"/>
  <c r="Z373" i="6"/>
  <c r="Z375" i="6" s="1"/>
  <c r="Z377" i="6" s="1"/>
  <c r="G169" i="17"/>
  <c r="C165" i="17"/>
  <c r="C39" i="12" s="1"/>
  <c r="G160" i="17"/>
  <c r="C13" i="17"/>
  <c r="C4" i="17"/>
  <c r="G5" i="17"/>
  <c r="C5" i="17" s="1"/>
  <c r="G40" i="17"/>
  <c r="C145" i="17"/>
  <c r="C117" i="17"/>
  <c r="G118" i="17"/>
  <c r="C94" i="17"/>
  <c r="G29" i="17"/>
  <c r="C28" i="17"/>
  <c r="C52" i="9" s="1"/>
  <c r="Q487" i="6"/>
  <c r="J487" i="6"/>
  <c r="I487" i="6"/>
  <c r="S487" i="6" s="1"/>
  <c r="J494" i="6"/>
  <c r="Q494" i="6"/>
  <c r="K200" i="6"/>
  <c r="J200" i="6"/>
  <c r="C132" i="17"/>
  <c r="G133" i="17"/>
  <c r="C106" i="17"/>
  <c r="C68" i="23" s="1"/>
  <c r="G107" i="17"/>
  <c r="C84" i="17"/>
  <c r="C47" i="9" s="1"/>
  <c r="G85" i="17"/>
  <c r="C85" i="17" s="1"/>
  <c r="C48" i="9" s="1"/>
  <c r="BR79" i="17"/>
  <c r="C39" i="24" s="1"/>
  <c r="G328" i="6"/>
  <c r="F254" i="6"/>
  <c r="V80" i="17"/>
  <c r="C49" i="23" s="1"/>
  <c r="G186" i="6"/>
  <c r="F102" i="22" s="1"/>
  <c r="G102" i="22" s="1"/>
  <c r="E6" i="16" s="1"/>
  <c r="AI383" i="6"/>
  <c r="AF397" i="6" s="1"/>
  <c r="AG397" i="6" s="1"/>
  <c r="G497" i="6"/>
  <c r="BZ83" i="17"/>
  <c r="C48" i="24" s="1"/>
  <c r="BZ79" i="17"/>
  <c r="C44" i="24" s="1"/>
  <c r="BZ81" i="17"/>
  <c r="C46" i="24" s="1"/>
  <c r="BJ79" i="17"/>
  <c r="C33" i="24" s="1"/>
  <c r="AD79" i="17"/>
  <c r="C54" i="23" s="1"/>
  <c r="N79" i="17"/>
  <c r="AL79" i="17"/>
  <c r="C62" i="23" s="1"/>
  <c r="AL81" i="17"/>
  <c r="C64" i="23" s="1"/>
  <c r="C81" i="23"/>
  <c r="C145" i="28" s="1"/>
  <c r="T43" i="17"/>
  <c r="G331" i="6"/>
  <c r="Q331" i="6" s="1"/>
  <c r="AJ460" i="6"/>
  <c r="AI469" i="6" s="1"/>
  <c r="AF310" i="6"/>
  <c r="AE311" i="6" s="1"/>
  <c r="AF311" i="6" s="1"/>
  <c r="AE312" i="6" s="1"/>
  <c r="AT85" i="17"/>
  <c r="G329" i="6"/>
  <c r="I329" i="6" s="1"/>
  <c r="AH334" i="6"/>
  <c r="AC336" i="6" s="1"/>
  <c r="J496" i="6"/>
  <c r="H496" i="6"/>
  <c r="I496" i="6"/>
  <c r="S496" i="6" s="1"/>
  <c r="Q496" i="6"/>
  <c r="J495" i="6"/>
  <c r="H495" i="6"/>
  <c r="Q495" i="6"/>
  <c r="I495" i="6"/>
  <c r="I493" i="6"/>
  <c r="J493" i="6"/>
  <c r="Q493" i="6"/>
  <c r="H493" i="6"/>
  <c r="H489" i="6"/>
  <c r="J488" i="6"/>
  <c r="I488" i="6"/>
  <c r="H488" i="6"/>
  <c r="Q488" i="6"/>
  <c r="AF482" i="6"/>
  <c r="G483" i="6"/>
  <c r="AF480" i="6"/>
  <c r="AF481" i="6"/>
  <c r="Q293" i="6"/>
  <c r="Q283" i="6"/>
  <c r="H283" i="6"/>
  <c r="J283" i="6"/>
  <c r="R283" i="6"/>
  <c r="S283" i="6"/>
  <c r="F103" i="22"/>
  <c r="AF323" i="6"/>
  <c r="AE324" i="6" s="1"/>
  <c r="AF324" i="6" s="1"/>
  <c r="AE325" i="6" s="1"/>
  <c r="AF322" i="6"/>
  <c r="U32" i="17"/>
  <c r="G105" i="22"/>
  <c r="AF382" i="6"/>
  <c r="AH382" i="6" s="1"/>
  <c r="AG391" i="6" s="1"/>
  <c r="I23" i="16"/>
  <c r="AT87" i="17"/>
  <c r="AT86" i="17"/>
  <c r="P68" i="17"/>
  <c r="C77" i="9" s="1"/>
  <c r="C76" i="9"/>
  <c r="D94" i="6"/>
  <c r="E396" i="6" s="1"/>
  <c r="D91" i="6"/>
  <c r="D93" i="6"/>
  <c r="E395" i="6" s="1"/>
  <c r="AA22" i="12"/>
  <c r="N170" i="22"/>
  <c r="O87" i="3"/>
  <c r="C67" i="23"/>
  <c r="AT79" i="17"/>
  <c r="C75" i="23" s="1"/>
  <c r="U44" i="17"/>
  <c r="AB34" i="3"/>
  <c r="AC21" i="24"/>
  <c r="N152" i="22"/>
  <c r="D266" i="6"/>
  <c r="H214" i="6"/>
  <c r="G219" i="6" s="1"/>
  <c r="F9" i="2" s="1"/>
  <c r="N58" i="3" s="1"/>
  <c r="E198" i="6"/>
  <c r="Z96" i="3"/>
  <c r="N50" i="3"/>
  <c r="I284" i="6" l="1"/>
  <c r="S284" i="6" s="1"/>
  <c r="S288" i="6"/>
  <c r="J277" i="6"/>
  <c r="I277" i="6"/>
  <c r="S277" i="6" s="1"/>
  <c r="H277" i="6"/>
  <c r="BA1" i="7" s="1"/>
  <c r="C277" i="6"/>
  <c r="H482" i="6"/>
  <c r="H480" i="6"/>
  <c r="D90" i="6"/>
  <c r="E390" i="6" s="1"/>
  <c r="D88" i="6"/>
  <c r="E388" i="6" s="1"/>
  <c r="D87" i="6"/>
  <c r="E387" i="6" s="1"/>
  <c r="D89" i="6"/>
  <c r="E389" i="6" s="1"/>
  <c r="D86" i="6"/>
  <c r="E386" i="6" s="1"/>
  <c r="Q279" i="6"/>
  <c r="H486" i="6"/>
  <c r="H481" i="6"/>
  <c r="I481" i="6"/>
  <c r="S481" i="6" s="1"/>
  <c r="J330" i="6"/>
  <c r="Q330" i="6"/>
  <c r="I293" i="6"/>
  <c r="S293" i="6" s="1"/>
  <c r="J293" i="6"/>
  <c r="I279" i="6"/>
  <c r="R279" i="6" s="1"/>
  <c r="H279" i="6"/>
  <c r="H284" i="6"/>
  <c r="H288" i="6"/>
  <c r="H286" i="6" s="1"/>
  <c r="I480" i="6"/>
  <c r="R480" i="6" s="1"/>
  <c r="J482" i="6"/>
  <c r="AQ80" i="17"/>
  <c r="AO356" i="6"/>
  <c r="J480" i="6"/>
  <c r="O222" i="6"/>
  <c r="B223" i="6"/>
  <c r="J284" i="6"/>
  <c r="Q288" i="6"/>
  <c r="J288" i="6"/>
  <c r="J286" i="6" s="1"/>
  <c r="I482" i="6"/>
  <c r="S482" i="6" s="1"/>
  <c r="AJ461" i="6"/>
  <c r="AE466" i="6" s="1"/>
  <c r="Q481" i="6"/>
  <c r="C60" i="9"/>
  <c r="C84" i="28" s="1"/>
  <c r="I286" i="6"/>
  <c r="P216" i="6"/>
  <c r="J291" i="6"/>
  <c r="S291" i="6"/>
  <c r="H291" i="6"/>
  <c r="Q291" i="6"/>
  <c r="Y121" i="3"/>
  <c r="I30" i="2"/>
  <c r="L241" i="6"/>
  <c r="R481" i="6"/>
  <c r="I490" i="6"/>
  <c r="I485" i="6" s="1"/>
  <c r="D281" i="6"/>
  <c r="AO360" i="6"/>
  <c r="B81" i="22"/>
  <c r="L250" i="6"/>
  <c r="C231" i="6"/>
  <c r="R489" i="6"/>
  <c r="AC337" i="6"/>
  <c r="G103" i="22"/>
  <c r="G111" i="22" s="1"/>
  <c r="E7" i="16" s="1"/>
  <c r="W43" i="17"/>
  <c r="C65" i="9" s="1"/>
  <c r="C89" i="28" s="1"/>
  <c r="P237" i="6"/>
  <c r="K237" i="6" s="1"/>
  <c r="I27" i="2" s="1"/>
  <c r="I331" i="6"/>
  <c r="R331" i="6" s="1"/>
  <c r="H329" i="6"/>
  <c r="AO355" i="6"/>
  <c r="C229" i="6"/>
  <c r="Q329" i="6"/>
  <c r="Q490" i="6"/>
  <c r="AC340" i="6"/>
  <c r="AC339" i="6"/>
  <c r="AC338" i="6"/>
  <c r="D286" i="6"/>
  <c r="Y102" i="3"/>
  <c r="AG313" i="6"/>
  <c r="AC310" i="6" s="1"/>
  <c r="AC312" i="6" s="1"/>
  <c r="J329" i="6"/>
  <c r="J485" i="6"/>
  <c r="Q86" i="28"/>
  <c r="H331" i="6"/>
  <c r="J331" i="6"/>
  <c r="C131" i="28"/>
  <c r="C172" i="28"/>
  <c r="G253" i="6"/>
  <c r="K253" i="6"/>
  <c r="T21" i="28"/>
  <c r="C156" i="17"/>
  <c r="C42" i="11" s="1"/>
  <c r="G157" i="17"/>
  <c r="C157" i="17" s="1"/>
  <c r="C43" i="11" s="1"/>
  <c r="C78" i="17"/>
  <c r="G79" i="17"/>
  <c r="R287" i="6"/>
  <c r="R289" i="6" s="1"/>
  <c r="S287" i="6"/>
  <c r="S289" i="6" s="1"/>
  <c r="T287" i="6" s="1"/>
  <c r="AB80" i="17"/>
  <c r="AD80" i="17" s="1"/>
  <c r="C55" i="23" s="1"/>
  <c r="Z80" i="17"/>
  <c r="K87" i="17"/>
  <c r="J99" i="17" s="1"/>
  <c r="BG82" i="17"/>
  <c r="BF82" i="17"/>
  <c r="BJ82" i="17" s="1"/>
  <c r="C36" i="24" s="1"/>
  <c r="BH82" i="17"/>
  <c r="C122" i="28"/>
  <c r="C118" i="28"/>
  <c r="BX80" i="17"/>
  <c r="BW80" i="17"/>
  <c r="BV80" i="17"/>
  <c r="BZ80" i="17" s="1"/>
  <c r="C45" i="24" s="1"/>
  <c r="C17" i="17"/>
  <c r="G18" i="17"/>
  <c r="C32" i="3"/>
  <c r="B19" i="28" s="1"/>
  <c r="C20" i="16"/>
  <c r="C70" i="17"/>
  <c r="L69" i="17" s="1"/>
  <c r="M69" i="17" s="1"/>
  <c r="G71" i="17"/>
  <c r="I497" i="6"/>
  <c r="I492" i="6" s="1"/>
  <c r="J497" i="6"/>
  <c r="J492" i="6" s="1"/>
  <c r="G254" i="6"/>
  <c r="I254" i="6" s="1"/>
  <c r="W250" i="6" s="1"/>
  <c r="Z250" i="6" s="1"/>
  <c r="AA250" i="6" s="1"/>
  <c r="K254" i="6"/>
  <c r="T22" i="28"/>
  <c r="C107" i="17"/>
  <c r="C69" i="23" s="1"/>
  <c r="C135" i="28" s="1"/>
  <c r="G108" i="17"/>
  <c r="J201" i="6"/>
  <c r="K201" i="6"/>
  <c r="AR80" i="17"/>
  <c r="L112" i="17"/>
  <c r="K112" i="17"/>
  <c r="AQ81" i="17"/>
  <c r="AO358" i="6"/>
  <c r="C230" i="6"/>
  <c r="H497" i="6"/>
  <c r="H492" i="6" s="1"/>
  <c r="C129" i="28"/>
  <c r="I328" i="6"/>
  <c r="J328" i="6"/>
  <c r="H328" i="6"/>
  <c r="Q328" i="6"/>
  <c r="AP80" i="17"/>
  <c r="J111" i="17"/>
  <c r="G30" i="17"/>
  <c r="C29" i="17"/>
  <c r="C53" i="9" s="1"/>
  <c r="C120" i="28"/>
  <c r="BN80" i="17"/>
  <c r="BR80" i="17" s="1"/>
  <c r="BO80" i="17"/>
  <c r="BP80" i="17"/>
  <c r="BV82" i="17"/>
  <c r="BZ82" i="17" s="1"/>
  <c r="C47" i="24" s="1"/>
  <c r="BX82" i="17"/>
  <c r="BW82" i="17"/>
  <c r="D100" i="28"/>
  <c r="B76" i="9"/>
  <c r="F278" i="6"/>
  <c r="G278" i="6" s="1"/>
  <c r="D278" i="6"/>
  <c r="C12" i="6"/>
  <c r="O231" i="6"/>
  <c r="B232" i="6"/>
  <c r="K216" i="6"/>
  <c r="D328" i="6"/>
  <c r="C45" i="6"/>
  <c r="F294" i="6"/>
  <c r="G294" i="6" s="1"/>
  <c r="D294" i="6"/>
  <c r="D290" i="6" s="1"/>
  <c r="C22" i="6"/>
  <c r="H485" i="6"/>
  <c r="Q497" i="6"/>
  <c r="AH469" i="6"/>
  <c r="AG469" i="6"/>
  <c r="AJ469" i="6"/>
  <c r="AK469" i="6"/>
  <c r="C158" i="28"/>
  <c r="C170" i="28"/>
  <c r="C133" i="17"/>
  <c r="G134" i="17"/>
  <c r="T81" i="17"/>
  <c r="V81" i="17" s="1"/>
  <c r="C50" i="23" s="1"/>
  <c r="R81" i="17"/>
  <c r="G41" i="17"/>
  <c r="C40" i="17"/>
  <c r="G161" i="17"/>
  <c r="C161" i="17" s="1"/>
  <c r="C33" i="12" s="1"/>
  <c r="C160" i="17"/>
  <c r="C32" i="12" s="1"/>
  <c r="BN81" i="17"/>
  <c r="BR81" i="17" s="1"/>
  <c r="BP81" i="17"/>
  <c r="BO81" i="17"/>
  <c r="D35" i="9"/>
  <c r="C63" i="28"/>
  <c r="C77" i="22"/>
  <c r="O33" i="22"/>
  <c r="H282" i="6"/>
  <c r="BA6" i="7" s="1"/>
  <c r="Q282" i="6"/>
  <c r="I282" i="6"/>
  <c r="J282" i="6"/>
  <c r="I292" i="6"/>
  <c r="Q292" i="6"/>
  <c r="H292" i="6"/>
  <c r="J292" i="6"/>
  <c r="I345" i="6"/>
  <c r="Q345" i="6"/>
  <c r="H345" i="6"/>
  <c r="J345" i="6"/>
  <c r="P215" i="6"/>
  <c r="S480" i="6"/>
  <c r="G170" i="17"/>
  <c r="C169" i="17"/>
  <c r="C45" i="12" s="1"/>
  <c r="C117" i="28"/>
  <c r="I32" i="2"/>
  <c r="L243" i="6"/>
  <c r="C345" i="6"/>
  <c r="AB29" i="3"/>
  <c r="I249" i="6"/>
  <c r="V20" i="3" s="1"/>
  <c r="I251" i="6"/>
  <c r="V21" i="3" s="1"/>
  <c r="T16" i="28"/>
  <c r="I250" i="6"/>
  <c r="D34" i="9"/>
  <c r="R487" i="6"/>
  <c r="C39" i="23"/>
  <c r="J254" i="6"/>
  <c r="C168" i="28"/>
  <c r="J253" i="6"/>
  <c r="C164" i="28"/>
  <c r="AX80" i="17"/>
  <c r="AZ80" i="17"/>
  <c r="AY80" i="17"/>
  <c r="C118" i="17"/>
  <c r="G119" i="17"/>
  <c r="C196" i="28"/>
  <c r="B54" i="22"/>
  <c r="B123" i="22"/>
  <c r="BF81" i="17"/>
  <c r="BJ81" i="17" s="1"/>
  <c r="C35" i="24" s="1"/>
  <c r="BG81" i="17"/>
  <c r="BH81" i="17"/>
  <c r="L251" i="6"/>
  <c r="K113" i="17"/>
  <c r="AQ82" i="17"/>
  <c r="R482" i="6"/>
  <c r="AO362" i="6"/>
  <c r="C234" i="6"/>
  <c r="C36" i="17"/>
  <c r="G37" i="17"/>
  <c r="C37" i="17" s="1"/>
  <c r="C61" i="9" s="1"/>
  <c r="L249" i="6"/>
  <c r="S330" i="6"/>
  <c r="R330" i="6"/>
  <c r="C233" i="6"/>
  <c r="AO361" i="6"/>
  <c r="R277" i="6"/>
  <c r="C98" i="17"/>
  <c r="G99" i="17"/>
  <c r="BH83" i="17"/>
  <c r="BF83" i="17"/>
  <c r="BJ83" i="17" s="1"/>
  <c r="C37" i="24" s="1"/>
  <c r="BG83" i="17"/>
  <c r="C22" i="2"/>
  <c r="C113" i="3"/>
  <c r="A25" i="22"/>
  <c r="D277" i="6"/>
  <c r="C11" i="6"/>
  <c r="B257" i="6"/>
  <c r="B45" i="2"/>
  <c r="R496" i="6"/>
  <c r="R495" i="6"/>
  <c r="S495" i="6"/>
  <c r="R493" i="6"/>
  <c r="S493" i="6"/>
  <c r="S488" i="6"/>
  <c r="R488" i="6"/>
  <c r="Q483" i="6"/>
  <c r="AF479" i="6"/>
  <c r="J483" i="6"/>
  <c r="I483" i="6"/>
  <c r="AF478" i="6"/>
  <c r="H483" i="6"/>
  <c r="S329" i="6"/>
  <c r="R329" i="6"/>
  <c r="R284" i="6"/>
  <c r="AH333" i="6"/>
  <c r="AF325" i="6"/>
  <c r="AI391" i="6"/>
  <c r="AE391" i="6"/>
  <c r="AG395" i="6" s="1"/>
  <c r="AF391" i="6"/>
  <c r="AH391" i="6"/>
  <c r="C133" i="28"/>
  <c r="C140" i="28"/>
  <c r="C134" i="28"/>
  <c r="E393" i="6"/>
  <c r="E91" i="6"/>
  <c r="E385" i="6"/>
  <c r="C100" i="28"/>
  <c r="Z101" i="3"/>
  <c r="E199" i="6"/>
  <c r="H219" i="6"/>
  <c r="G226" i="6" s="1"/>
  <c r="F16" i="2" s="1"/>
  <c r="R490" i="6" l="1"/>
  <c r="S490" i="6"/>
  <c r="C40" i="24"/>
  <c r="C41" i="24" s="1"/>
  <c r="Q289" i="6"/>
  <c r="Q286" i="6" s="1"/>
  <c r="I281" i="6"/>
  <c r="R293" i="6"/>
  <c r="S279" i="6"/>
  <c r="AE464" i="6"/>
  <c r="AE467" i="6"/>
  <c r="AE463" i="6"/>
  <c r="AE465" i="6"/>
  <c r="AI472" i="6" s="1"/>
  <c r="E85" i="6"/>
  <c r="J281" i="6"/>
  <c r="J479" i="6"/>
  <c r="BB80" i="17"/>
  <c r="C87" i="23" s="1"/>
  <c r="C150" i="28" s="1"/>
  <c r="AT81" i="17"/>
  <c r="C77" i="23" s="1"/>
  <c r="C142" i="28" s="1"/>
  <c r="L27" i="17"/>
  <c r="Q27" i="17" s="1"/>
  <c r="S44" i="17"/>
  <c r="J126" i="17"/>
  <c r="J127" i="17" s="1"/>
  <c r="O223" i="6"/>
  <c r="B224" i="6"/>
  <c r="AT80" i="17"/>
  <c r="C76" i="23" s="1"/>
  <c r="C141" i="28" s="1"/>
  <c r="Y122" i="3"/>
  <c r="I31" i="2"/>
  <c r="E451" i="6"/>
  <c r="I6" i="2"/>
  <c r="L216" i="6"/>
  <c r="P217" i="6" s="1"/>
  <c r="S331" i="6"/>
  <c r="I327" i="6"/>
  <c r="L237" i="6"/>
  <c r="E431" i="6"/>
  <c r="I28" i="2"/>
  <c r="Y119" i="3"/>
  <c r="Q491" i="6"/>
  <c r="Q485" i="6" s="1"/>
  <c r="J327" i="6"/>
  <c r="R491" i="6"/>
  <c r="D276" i="6"/>
  <c r="H327" i="6"/>
  <c r="C99" i="17"/>
  <c r="G100" i="17"/>
  <c r="L113" i="17"/>
  <c r="AR81" i="17"/>
  <c r="R292" i="6"/>
  <c r="S292" i="6"/>
  <c r="C171" i="28"/>
  <c r="G72" i="17"/>
  <c r="C71" i="17"/>
  <c r="L70" i="17" s="1"/>
  <c r="M70" i="17" s="1"/>
  <c r="C18" i="17"/>
  <c r="G19" i="17"/>
  <c r="C123" i="28"/>
  <c r="G80" i="17"/>
  <c r="C79" i="17"/>
  <c r="AH395" i="6"/>
  <c r="AF394" i="6" s="1"/>
  <c r="AF396" i="6" s="1"/>
  <c r="B258" i="6"/>
  <c r="B46" i="2"/>
  <c r="AB81" i="17"/>
  <c r="AD81" i="17" s="1"/>
  <c r="C56" i="23" s="1"/>
  <c r="K88" i="17"/>
  <c r="Z81" i="17"/>
  <c r="C302" i="6"/>
  <c r="D62" i="28"/>
  <c r="AB33" i="9"/>
  <c r="R61" i="28" s="1"/>
  <c r="X20" i="3"/>
  <c r="AE18" i="22"/>
  <c r="E479" i="6"/>
  <c r="Y124" i="3"/>
  <c r="C201" i="28"/>
  <c r="R345" i="6"/>
  <c r="S345" i="6"/>
  <c r="C191" i="28"/>
  <c r="C119" i="28"/>
  <c r="S328" i="6"/>
  <c r="R328" i="6"/>
  <c r="R332" i="6" s="1"/>
  <c r="C108" i="17"/>
  <c r="C70" i="23" s="1"/>
  <c r="C136" i="28" s="1"/>
  <c r="G109" i="17"/>
  <c r="N69" i="17"/>
  <c r="P69" i="17"/>
  <c r="C78" i="9" s="1"/>
  <c r="C36" i="9"/>
  <c r="J78" i="17"/>
  <c r="N80" i="17" s="1"/>
  <c r="K80" i="17"/>
  <c r="I253" i="6"/>
  <c r="N22" i="7"/>
  <c r="B77" i="9"/>
  <c r="B100" i="28"/>
  <c r="C162" i="28"/>
  <c r="C160" i="28"/>
  <c r="L254" i="6"/>
  <c r="C170" i="17"/>
  <c r="C46" i="12" s="1"/>
  <c r="G171" i="17"/>
  <c r="C171" i="17" s="1"/>
  <c r="C47" i="12" s="1"/>
  <c r="J100" i="17"/>
  <c r="S282" i="6"/>
  <c r="S285" i="6" s="1"/>
  <c r="R282" i="6"/>
  <c r="R285" i="6" s="1"/>
  <c r="C303" i="6"/>
  <c r="D63" i="28"/>
  <c r="C134" i="17"/>
  <c r="G135" i="17"/>
  <c r="C135" i="17" s="1"/>
  <c r="C77" i="28"/>
  <c r="H281" i="6"/>
  <c r="Q285" i="6" s="1"/>
  <c r="Q281" i="6" s="1"/>
  <c r="AP81" i="17"/>
  <c r="J112" i="17"/>
  <c r="C184" i="28"/>
  <c r="C114" i="3"/>
  <c r="C23" i="2"/>
  <c r="A26" i="22"/>
  <c r="C109" i="28"/>
  <c r="P244" i="6"/>
  <c r="K244" i="6" s="1"/>
  <c r="C190" i="28"/>
  <c r="C161" i="28"/>
  <c r="O268" i="6"/>
  <c r="AB24" i="7" s="1"/>
  <c r="C119" i="17"/>
  <c r="G120" i="17"/>
  <c r="L253" i="6"/>
  <c r="C58" i="6"/>
  <c r="D345" i="6"/>
  <c r="G42" i="17"/>
  <c r="C41" i="17"/>
  <c r="AZ81" i="17"/>
  <c r="AY81" i="17"/>
  <c r="AX81" i="17"/>
  <c r="H294" i="6"/>
  <c r="H290" i="6" s="1"/>
  <c r="Q294" i="6"/>
  <c r="I294" i="6"/>
  <c r="J294" i="6"/>
  <c r="J290" i="6" s="1"/>
  <c r="O232" i="6"/>
  <c r="B233" i="6"/>
  <c r="I278" i="6"/>
  <c r="J278" i="6"/>
  <c r="J276" i="6" s="1"/>
  <c r="Q278" i="6"/>
  <c r="AF276" i="6"/>
  <c r="H278" i="6"/>
  <c r="H276" i="6" s="1"/>
  <c r="AF277" i="6"/>
  <c r="AF279" i="6"/>
  <c r="AF275" i="6"/>
  <c r="AF278" i="6"/>
  <c r="G31" i="17"/>
  <c r="C30" i="17"/>
  <c r="C54" i="9" s="1"/>
  <c r="K202" i="6"/>
  <c r="J202" i="6"/>
  <c r="R497" i="6"/>
  <c r="R498" i="6" s="1"/>
  <c r="S497" i="6"/>
  <c r="S498" i="6" s="1"/>
  <c r="T493" i="6" s="1"/>
  <c r="C169" i="28"/>
  <c r="C183" i="28"/>
  <c r="Q498" i="6"/>
  <c r="Q492" i="6" s="1"/>
  <c r="S491" i="6"/>
  <c r="T489" i="6" s="1"/>
  <c r="R483" i="6"/>
  <c r="R484" i="6" s="1"/>
  <c r="S483" i="6"/>
  <c r="I479" i="6"/>
  <c r="H479" i="6"/>
  <c r="AF483" i="6"/>
  <c r="AG479" i="6" s="1"/>
  <c r="T288" i="6"/>
  <c r="U288" i="6" s="1"/>
  <c r="K288" i="6" s="1"/>
  <c r="L288" i="6" s="1"/>
  <c r="U287" i="6"/>
  <c r="AE342" i="6"/>
  <c r="AG342" i="6"/>
  <c r="AF342" i="6"/>
  <c r="AI342" i="6"/>
  <c r="AH342" i="6"/>
  <c r="H226" i="6"/>
  <c r="G235" i="6" s="1"/>
  <c r="F25" i="2" s="1"/>
  <c r="Z108" i="3"/>
  <c r="E200" i="6"/>
  <c r="N65" i="3"/>
  <c r="C165" i="28" l="1"/>
  <c r="AH471" i="6"/>
  <c r="AH473" i="6" s="1"/>
  <c r="S332" i="6"/>
  <c r="T331" i="6" s="1"/>
  <c r="U331" i="6" s="1"/>
  <c r="K331" i="6" s="1"/>
  <c r="L331" i="6" s="1"/>
  <c r="L28" i="17"/>
  <c r="Q28" i="17" s="1"/>
  <c r="S45" i="17"/>
  <c r="B225" i="6"/>
  <c r="O225" i="6" s="1"/>
  <c r="O224" i="6"/>
  <c r="BB81" i="17"/>
  <c r="C88" i="23" s="1"/>
  <c r="C151" i="28" s="1"/>
  <c r="I33" i="2"/>
  <c r="L244" i="6"/>
  <c r="K245" i="6" s="1"/>
  <c r="I34" i="2" s="1"/>
  <c r="Q332" i="6"/>
  <c r="Q327" i="6" s="1"/>
  <c r="K217" i="6"/>
  <c r="E281" i="6"/>
  <c r="Y98" i="3"/>
  <c r="U489" i="6"/>
  <c r="K489" i="6" s="1"/>
  <c r="L489" i="6" s="1"/>
  <c r="T486" i="6"/>
  <c r="U486" i="6" s="1"/>
  <c r="T283" i="6"/>
  <c r="U283" i="6" s="1"/>
  <c r="K283" i="6" s="1"/>
  <c r="L283" i="6" s="1"/>
  <c r="T284" i="6"/>
  <c r="U284" i="6" s="1"/>
  <c r="K284" i="6" s="1"/>
  <c r="L284" i="6" s="1"/>
  <c r="O233" i="6"/>
  <c r="P227" i="6" s="1"/>
  <c r="B234" i="6"/>
  <c r="O234" i="6" s="1"/>
  <c r="N70" i="17"/>
  <c r="P70" i="17"/>
  <c r="C79" i="9" s="1"/>
  <c r="C78" i="28"/>
  <c r="AF280" i="6"/>
  <c r="AG276" i="6" s="1"/>
  <c r="F303" i="6"/>
  <c r="G303" i="6" s="1"/>
  <c r="C26" i="6"/>
  <c r="D303" i="6"/>
  <c r="C203" i="28"/>
  <c r="W249" i="6"/>
  <c r="Z249" i="6" s="1"/>
  <c r="AA249" i="6" s="1"/>
  <c r="O267" i="6"/>
  <c r="G110" i="17"/>
  <c r="C110" i="17" s="1"/>
  <c r="C72" i="23" s="1"/>
  <c r="C138" i="28" s="1"/>
  <c r="C109" i="17"/>
  <c r="C71" i="23" s="1"/>
  <c r="C137" i="28" s="1"/>
  <c r="C124" i="28"/>
  <c r="C72" i="17"/>
  <c r="L71" i="17" s="1"/>
  <c r="M71" i="17" s="1"/>
  <c r="G73" i="17"/>
  <c r="AB82" i="17"/>
  <c r="AD82" i="17" s="1"/>
  <c r="C57" i="23" s="1"/>
  <c r="K89" i="17"/>
  <c r="J101" i="17" s="1"/>
  <c r="Z82" i="17"/>
  <c r="A27" i="22"/>
  <c r="C115" i="3"/>
  <c r="C24" i="2"/>
  <c r="F302" i="6"/>
  <c r="G302" i="6" s="1"/>
  <c r="D302" i="6"/>
  <c r="C25" i="6"/>
  <c r="C100" i="17"/>
  <c r="G101" i="17"/>
  <c r="C101" i="17" s="1"/>
  <c r="T282" i="6"/>
  <c r="U282" i="6" s="1"/>
  <c r="C31" i="17"/>
  <c r="G32" i="17"/>
  <c r="C42" i="17"/>
  <c r="S47" i="17" s="1"/>
  <c r="G43" i="17"/>
  <c r="C120" i="17"/>
  <c r="G121" i="17"/>
  <c r="AZ83" i="17"/>
  <c r="AY83" i="17"/>
  <c r="BB83" i="17" s="1"/>
  <c r="C90" i="23" s="1"/>
  <c r="AX83" i="17"/>
  <c r="C202" i="28"/>
  <c r="B101" i="28"/>
  <c r="B78" i="9"/>
  <c r="C64" i="28"/>
  <c r="J113" i="17"/>
  <c r="AP82" i="17"/>
  <c r="AT82" i="17" s="1"/>
  <c r="C78" i="23" s="1"/>
  <c r="C143" i="28" s="1"/>
  <c r="J79" i="17"/>
  <c r="K81" i="17"/>
  <c r="C19" i="17"/>
  <c r="G20" i="17"/>
  <c r="J203" i="6"/>
  <c r="K203" i="6"/>
  <c r="T289" i="6"/>
  <c r="R278" i="6"/>
  <c r="R280" i="6" s="1"/>
  <c r="S278" i="6"/>
  <c r="S280" i="6" s="1"/>
  <c r="I276" i="6"/>
  <c r="Q280" i="6" s="1"/>
  <c r="Q276" i="6" s="1"/>
  <c r="R294" i="6"/>
  <c r="R295" i="6" s="1"/>
  <c r="I290" i="6"/>
  <c r="Q295" i="6" s="1"/>
  <c r="Q290" i="6" s="1"/>
  <c r="S294" i="6"/>
  <c r="S295" i="6" s="1"/>
  <c r="L114" i="17"/>
  <c r="AR82" i="17"/>
  <c r="AX82" i="17"/>
  <c r="AZ82" i="17"/>
  <c r="AY82" i="17"/>
  <c r="C40" i="23"/>
  <c r="N81" i="17"/>
  <c r="C101" i="28"/>
  <c r="C166" i="28"/>
  <c r="B259" i="6"/>
  <c r="B47" i="2"/>
  <c r="G81" i="17"/>
  <c r="C80" i="17"/>
  <c r="C37" i="9"/>
  <c r="U493" i="6"/>
  <c r="T494" i="6"/>
  <c r="U494" i="6" s="1"/>
  <c r="K494" i="6" s="1"/>
  <c r="L494" i="6" s="1"/>
  <c r="T495" i="6"/>
  <c r="U495" i="6" s="1"/>
  <c r="K495" i="6" s="1"/>
  <c r="L495" i="6" s="1"/>
  <c r="T496" i="6"/>
  <c r="U496" i="6" s="1"/>
  <c r="K496" i="6" s="1"/>
  <c r="L496" i="6" s="1"/>
  <c r="T497" i="6"/>
  <c r="U497" i="6" s="1"/>
  <c r="K497" i="6" s="1"/>
  <c r="L497" i="6" s="1"/>
  <c r="T487" i="6"/>
  <c r="U487" i="6" s="1"/>
  <c r="K487" i="6" s="1"/>
  <c r="L487" i="6" s="1"/>
  <c r="T488" i="6"/>
  <c r="U488" i="6" s="1"/>
  <c r="K488" i="6" s="1"/>
  <c r="L488" i="6" s="1"/>
  <c r="T490" i="6"/>
  <c r="U490" i="6" s="1"/>
  <c r="K490" i="6" s="1"/>
  <c r="L490" i="6" s="1"/>
  <c r="AG478" i="6"/>
  <c r="Q484" i="6"/>
  <c r="Q479" i="6" s="1"/>
  <c r="S484" i="6"/>
  <c r="AG482" i="6"/>
  <c r="O89" i="3" s="1"/>
  <c r="AA21" i="12" s="1"/>
  <c r="AG481" i="6"/>
  <c r="AG480" i="6"/>
  <c r="O88" i="3" s="1"/>
  <c r="AA20" i="12" s="1"/>
  <c r="U289" i="6"/>
  <c r="K287" i="6"/>
  <c r="L287" i="6" s="1"/>
  <c r="M286" i="6" s="1"/>
  <c r="AG345" i="6"/>
  <c r="H235" i="6"/>
  <c r="G239" i="6" s="1"/>
  <c r="F28" i="2" s="1"/>
  <c r="Z117" i="3"/>
  <c r="N72" i="3"/>
  <c r="E201" i="6"/>
  <c r="AF344" i="6" l="1"/>
  <c r="AF346" i="6" s="1"/>
  <c r="T328" i="6"/>
  <c r="U328" i="6" s="1"/>
  <c r="T330" i="6"/>
  <c r="U330" i="6" s="1"/>
  <c r="K330" i="6" s="1"/>
  <c r="L330" i="6" s="1"/>
  <c r="T329" i="6"/>
  <c r="U329" i="6" s="1"/>
  <c r="K329" i="6" s="1"/>
  <c r="L329" i="6" s="1"/>
  <c r="L245" i="6"/>
  <c r="J128" i="17"/>
  <c r="J129" i="17" s="1"/>
  <c r="BB82" i="17"/>
  <c r="C89" i="23" s="1"/>
  <c r="C152" i="28" s="1"/>
  <c r="P245" i="6"/>
  <c r="P220" i="6"/>
  <c r="P221" i="6"/>
  <c r="K221" i="6" s="1"/>
  <c r="E492" i="6"/>
  <c r="Y126" i="3"/>
  <c r="Y125" i="3"/>
  <c r="E485" i="6"/>
  <c r="I35" i="2"/>
  <c r="I7" i="2"/>
  <c r="L217" i="6"/>
  <c r="T285" i="6"/>
  <c r="AG278" i="6"/>
  <c r="C43" i="17"/>
  <c r="G44" i="17"/>
  <c r="C102" i="28"/>
  <c r="D37" i="9"/>
  <c r="C65" i="28"/>
  <c r="B260" i="6"/>
  <c r="B48" i="2"/>
  <c r="T294" i="6"/>
  <c r="U294" i="6" s="1"/>
  <c r="K294" i="6" s="1"/>
  <c r="L294" i="6" s="1"/>
  <c r="T278" i="6"/>
  <c r="U278" i="6" s="1"/>
  <c r="K278" i="6" s="1"/>
  <c r="L278" i="6" s="1"/>
  <c r="T279" i="6"/>
  <c r="U279" i="6" s="1"/>
  <c r="K279" i="6" s="1"/>
  <c r="L279" i="6" s="1"/>
  <c r="T277" i="6"/>
  <c r="C20" i="17"/>
  <c r="D53" i="9" s="1"/>
  <c r="G21" i="17"/>
  <c r="C21" i="17" s="1"/>
  <c r="C40" i="9" s="1"/>
  <c r="L29" i="17"/>
  <c r="Q29" i="17" s="1"/>
  <c r="N125" i="22"/>
  <c r="AB22" i="7"/>
  <c r="O52" i="3"/>
  <c r="AG279" i="6"/>
  <c r="O54" i="3" s="1"/>
  <c r="AB21" i="7" s="1"/>
  <c r="AG275" i="6"/>
  <c r="J115" i="17"/>
  <c r="AP84" i="17"/>
  <c r="AT84" i="17" s="1"/>
  <c r="K82" i="17"/>
  <c r="J80" i="17"/>
  <c r="N82" i="17" s="1"/>
  <c r="C41" i="23"/>
  <c r="T291" i="6"/>
  <c r="T293" i="6"/>
  <c r="U293" i="6" s="1"/>
  <c r="K293" i="6" s="1"/>
  <c r="L293" i="6" s="1"/>
  <c r="T292" i="6"/>
  <c r="U292" i="6" s="1"/>
  <c r="K292" i="6" s="1"/>
  <c r="L292" i="6" s="1"/>
  <c r="C38" i="9"/>
  <c r="C121" i="17"/>
  <c r="G122" i="17"/>
  <c r="AG277" i="6"/>
  <c r="O53" i="3" s="1"/>
  <c r="AB20" i="7" s="1"/>
  <c r="Z84" i="17"/>
  <c r="AB84" i="17"/>
  <c r="AD84" i="17" s="1"/>
  <c r="C59" i="23" s="1"/>
  <c r="K91" i="17"/>
  <c r="Q302" i="6"/>
  <c r="J302" i="6"/>
  <c r="H302" i="6"/>
  <c r="I302" i="6"/>
  <c r="C125" i="28"/>
  <c r="C153" i="28"/>
  <c r="N71" i="17"/>
  <c r="P71" i="17"/>
  <c r="C80" i="9" s="1"/>
  <c r="G82" i="17"/>
  <c r="C82" i="17" s="1"/>
  <c r="C81" i="17"/>
  <c r="D51" i="23" s="1"/>
  <c r="C110" i="28"/>
  <c r="J204" i="6"/>
  <c r="K204" i="6"/>
  <c r="B79" i="9"/>
  <c r="B102" i="28"/>
  <c r="AR83" i="17"/>
  <c r="L115" i="17"/>
  <c r="C32" i="17"/>
  <c r="C56" i="9" s="1"/>
  <c r="C80" i="28" s="1"/>
  <c r="G33" i="17"/>
  <c r="C33" i="17" s="1"/>
  <c r="AB83" i="17"/>
  <c r="AD83" i="17" s="1"/>
  <c r="C58" i="23" s="1"/>
  <c r="Z83" i="17"/>
  <c r="K90" i="17"/>
  <c r="J102" i="17" s="1"/>
  <c r="A28" i="22"/>
  <c r="C116" i="3"/>
  <c r="C73" i="17"/>
  <c r="G74" i="17"/>
  <c r="AP83" i="17"/>
  <c r="AT83" i="17" s="1"/>
  <c r="J114" i="17"/>
  <c r="I303" i="6"/>
  <c r="Q303" i="6"/>
  <c r="J303" i="6"/>
  <c r="H303" i="6"/>
  <c r="K493" i="6"/>
  <c r="L493" i="6" s="1"/>
  <c r="M492" i="6" s="1"/>
  <c r="U498" i="6"/>
  <c r="T498" i="6"/>
  <c r="U491" i="6"/>
  <c r="T491" i="6"/>
  <c r="K486" i="6"/>
  <c r="L486" i="6" s="1"/>
  <c r="M485" i="6" s="1"/>
  <c r="J33" i="2" s="1"/>
  <c r="T480" i="6"/>
  <c r="T481" i="6"/>
  <c r="U481" i="6" s="1"/>
  <c r="K481" i="6" s="1"/>
  <c r="L481" i="6" s="1"/>
  <c r="T482" i="6"/>
  <c r="U482" i="6" s="1"/>
  <c r="K482" i="6" s="1"/>
  <c r="L482" i="6" s="1"/>
  <c r="T483" i="6"/>
  <c r="U483" i="6" s="1"/>
  <c r="K483" i="6" s="1"/>
  <c r="L483" i="6" s="1"/>
  <c r="X277" i="6"/>
  <c r="J7" i="2"/>
  <c r="K282" i="6"/>
  <c r="L282" i="6" s="1"/>
  <c r="M281" i="6" s="1"/>
  <c r="U285" i="6"/>
  <c r="H239" i="6"/>
  <c r="G242" i="6" s="1"/>
  <c r="F31" i="2" s="1"/>
  <c r="N79" i="3"/>
  <c r="E202" i="6"/>
  <c r="Z120" i="3"/>
  <c r="T332" i="6" l="1"/>
  <c r="J130" i="17"/>
  <c r="J131" i="17" s="1"/>
  <c r="J132" i="17" s="1"/>
  <c r="J133" i="17" s="1"/>
  <c r="J134" i="17" s="1"/>
  <c r="I11" i="2"/>
  <c r="L221" i="6"/>
  <c r="P222" i="6" s="1"/>
  <c r="K222" i="6" s="1"/>
  <c r="D50" i="23"/>
  <c r="D119" i="28" s="1"/>
  <c r="J103" i="17"/>
  <c r="J104" i="17" s="1"/>
  <c r="J105" i="17" s="1"/>
  <c r="J106" i="17" s="1"/>
  <c r="I12" i="2"/>
  <c r="P218" i="6"/>
  <c r="K218" i="6" s="1"/>
  <c r="E286" i="6"/>
  <c r="N286" i="6" s="1"/>
  <c r="K7" i="2" s="1"/>
  <c r="Y99" i="3"/>
  <c r="D58" i="23"/>
  <c r="C126" i="28"/>
  <c r="C103" i="28"/>
  <c r="C321" i="6"/>
  <c r="B53" i="9"/>
  <c r="D78" i="28"/>
  <c r="J81" i="17"/>
  <c r="N83" i="17" s="1"/>
  <c r="K83" i="17"/>
  <c r="D49" i="23"/>
  <c r="D54" i="23"/>
  <c r="D57" i="23"/>
  <c r="C66" i="28"/>
  <c r="C42" i="23"/>
  <c r="C39" i="9"/>
  <c r="D44" i="9"/>
  <c r="D51" i="9"/>
  <c r="D43" i="9"/>
  <c r="J205" i="6"/>
  <c r="K205" i="6"/>
  <c r="U291" i="6"/>
  <c r="T295" i="6"/>
  <c r="B261" i="6"/>
  <c r="B49" i="2"/>
  <c r="C74" i="17"/>
  <c r="G75" i="17"/>
  <c r="C75" i="17" s="1"/>
  <c r="C369" i="6"/>
  <c r="D120" i="28"/>
  <c r="J82" i="17"/>
  <c r="K84" i="17"/>
  <c r="R302" i="6"/>
  <c r="S302" i="6"/>
  <c r="C122" i="17"/>
  <c r="G123" i="17"/>
  <c r="D61" i="9"/>
  <c r="C111" i="28"/>
  <c r="D55" i="23"/>
  <c r="D64" i="23"/>
  <c r="D48" i="23"/>
  <c r="U277" i="6"/>
  <c r="T280" i="6"/>
  <c r="C305" i="6"/>
  <c r="D65" i="28"/>
  <c r="D52" i="9"/>
  <c r="S303" i="6"/>
  <c r="R303" i="6"/>
  <c r="B103" i="28"/>
  <c r="B80" i="9"/>
  <c r="B104" i="28" s="1"/>
  <c r="D62" i="23"/>
  <c r="D56" i="23"/>
  <c r="D59" i="23"/>
  <c r="C127" i="28"/>
  <c r="L116" i="17"/>
  <c r="AR84" i="17"/>
  <c r="D65" i="9"/>
  <c r="D63" i="23"/>
  <c r="D60" i="9"/>
  <c r="G45" i="17"/>
  <c r="C44" i="17"/>
  <c r="J34" i="2"/>
  <c r="X480" i="6"/>
  <c r="N492" i="6"/>
  <c r="K34" i="2" s="1"/>
  <c r="N485" i="6"/>
  <c r="K33" i="2" s="1"/>
  <c r="X479" i="6"/>
  <c r="B13" i="12"/>
  <c r="G83" i="22"/>
  <c r="I83" i="22" s="1"/>
  <c r="Q83" i="22" s="1"/>
  <c r="B14" i="12"/>
  <c r="E41" i="22"/>
  <c r="F41" i="22" s="1"/>
  <c r="AB125" i="3"/>
  <c r="U480" i="6"/>
  <c r="T484" i="6"/>
  <c r="E8" i="22"/>
  <c r="F8" i="22" s="1"/>
  <c r="B15" i="7"/>
  <c r="G57" i="22"/>
  <c r="I57" i="22" s="1"/>
  <c r="Q57" i="22" s="1"/>
  <c r="AB99" i="3"/>
  <c r="N281" i="6"/>
  <c r="K6" i="2" s="1"/>
  <c r="J6" i="2"/>
  <c r="X276" i="6"/>
  <c r="K328" i="6"/>
  <c r="L328" i="6" s="1"/>
  <c r="M328" i="6" s="1"/>
  <c r="M327" i="6" s="1"/>
  <c r="U332" i="6"/>
  <c r="E203" i="6"/>
  <c r="Z123" i="3"/>
  <c r="N86" i="3"/>
  <c r="H242" i="6"/>
  <c r="C368" i="6" l="1"/>
  <c r="F368" i="6" s="1"/>
  <c r="G368" i="6" s="1"/>
  <c r="E310" i="6"/>
  <c r="Y103" i="3"/>
  <c r="L222" i="6"/>
  <c r="P223" i="6"/>
  <c r="K223" i="6" s="1"/>
  <c r="I13" i="2" s="1"/>
  <c r="Y104" i="3"/>
  <c r="E318" i="6"/>
  <c r="I8" i="2"/>
  <c r="L218" i="6"/>
  <c r="C320" i="6"/>
  <c r="D77" i="28"/>
  <c r="F369" i="6"/>
  <c r="G369" i="6" s="1"/>
  <c r="D369" i="6"/>
  <c r="C75" i="6"/>
  <c r="K206" i="6"/>
  <c r="J206" i="6"/>
  <c r="C373" i="6"/>
  <c r="D123" i="28"/>
  <c r="C312" i="6"/>
  <c r="C39" i="3"/>
  <c r="B25" i="28" s="1"/>
  <c r="D70" i="28"/>
  <c r="C375" i="6"/>
  <c r="D125" i="28"/>
  <c r="F321" i="6"/>
  <c r="G321" i="6" s="1"/>
  <c r="C40" i="6"/>
  <c r="D321" i="6"/>
  <c r="B78" i="28"/>
  <c r="B321" i="6"/>
  <c r="C380" i="6"/>
  <c r="D129" i="28"/>
  <c r="AB61" i="23"/>
  <c r="Q128" i="28" s="1"/>
  <c r="U280" i="6"/>
  <c r="K277" i="6"/>
  <c r="L277" i="6" s="1"/>
  <c r="M276" i="6" s="1"/>
  <c r="C330" i="6"/>
  <c r="D85" i="28"/>
  <c r="B50" i="2"/>
  <c r="B262" i="6"/>
  <c r="C311" i="6"/>
  <c r="D69" i="28"/>
  <c r="AB42" i="9"/>
  <c r="C67" i="28"/>
  <c r="G46" i="17"/>
  <c r="C45" i="17"/>
  <c r="C381" i="6"/>
  <c r="D130" i="28"/>
  <c r="C334" i="6"/>
  <c r="AB64" i="9"/>
  <c r="Q88" i="28" s="1"/>
  <c r="C374" i="6"/>
  <c r="D124" i="28"/>
  <c r="F305" i="6"/>
  <c r="G305" i="6" s="1"/>
  <c r="C28" i="6"/>
  <c r="D305" i="6"/>
  <c r="C366" i="6"/>
  <c r="AB47" i="23"/>
  <c r="Q116" i="28" s="1"/>
  <c r="D117" i="28"/>
  <c r="C123" i="17"/>
  <c r="G124" i="17"/>
  <c r="C319" i="6"/>
  <c r="AB50" i="9"/>
  <c r="Q75" i="28" s="1"/>
  <c r="D76" i="28"/>
  <c r="C112" i="28"/>
  <c r="C372" i="6"/>
  <c r="AB53" i="23"/>
  <c r="Q121" i="28" s="1"/>
  <c r="D122" i="28"/>
  <c r="C376" i="6"/>
  <c r="D126" i="28"/>
  <c r="C377" i="6"/>
  <c r="D127" i="28"/>
  <c r="D84" i="28"/>
  <c r="C329" i="6"/>
  <c r="AB59" i="9"/>
  <c r="Q83" i="28" s="1"/>
  <c r="C382" i="6"/>
  <c r="D131" i="28"/>
  <c r="L117" i="17"/>
  <c r="AR85" i="17"/>
  <c r="U295" i="6"/>
  <c r="K291" i="6"/>
  <c r="L291" i="6" s="1"/>
  <c r="M290" i="6" s="1"/>
  <c r="N84" i="17"/>
  <c r="C43" i="23"/>
  <c r="C367" i="6"/>
  <c r="D118" i="28"/>
  <c r="E42" i="22"/>
  <c r="F42" i="22" s="1"/>
  <c r="AB126" i="3"/>
  <c r="G84" i="22"/>
  <c r="I84" i="22" s="1"/>
  <c r="Q84" i="22" s="1"/>
  <c r="B17" i="12"/>
  <c r="F13" i="12"/>
  <c r="J13" i="12"/>
  <c r="E13" i="12"/>
  <c r="H13" i="12"/>
  <c r="K13" i="12"/>
  <c r="D13" i="12"/>
  <c r="G13" i="12"/>
  <c r="L13" i="12"/>
  <c r="I13" i="12"/>
  <c r="M13" i="12"/>
  <c r="U484" i="6"/>
  <c r="K480" i="6"/>
  <c r="L480" i="6" s="1"/>
  <c r="M479" i="6" s="1"/>
  <c r="E15" i="7"/>
  <c r="D15" i="7"/>
  <c r="G15" i="7"/>
  <c r="I15" i="7"/>
  <c r="L15" i="7"/>
  <c r="H15" i="7"/>
  <c r="C15" i="7"/>
  <c r="F15" i="7"/>
  <c r="K15" i="7"/>
  <c r="J15" i="7"/>
  <c r="G56" i="22"/>
  <c r="I56" i="22" s="1"/>
  <c r="Q56" i="22" s="1"/>
  <c r="E7" i="22"/>
  <c r="F7" i="22" s="1"/>
  <c r="AB98" i="3"/>
  <c r="B12" i="7"/>
  <c r="X304" i="6"/>
  <c r="J13" i="2"/>
  <c r="E204" i="6"/>
  <c r="D368" i="6" l="1"/>
  <c r="C74" i="6"/>
  <c r="E327" i="6"/>
  <c r="N327" i="6" s="1"/>
  <c r="K13" i="2" s="1"/>
  <c r="Y105" i="3"/>
  <c r="L223" i="6"/>
  <c r="E290" i="6"/>
  <c r="N290" i="6" s="1"/>
  <c r="K8" i="2" s="1"/>
  <c r="Y100" i="3"/>
  <c r="I9" i="2"/>
  <c r="F376" i="6"/>
  <c r="G376" i="6" s="1"/>
  <c r="D376" i="6"/>
  <c r="C80" i="6"/>
  <c r="C124" i="17"/>
  <c r="G125" i="17"/>
  <c r="B51" i="2"/>
  <c r="B263" i="6"/>
  <c r="J321" i="6"/>
  <c r="Q321" i="6"/>
  <c r="I321" i="6"/>
  <c r="H321" i="6"/>
  <c r="F258" i="6"/>
  <c r="C44" i="23"/>
  <c r="N85" i="17"/>
  <c r="C45" i="23" s="1"/>
  <c r="AR86" i="17"/>
  <c r="L118" i="17"/>
  <c r="D89" i="28"/>
  <c r="C49" i="6"/>
  <c r="F334" i="6"/>
  <c r="D334" i="6"/>
  <c r="C46" i="17"/>
  <c r="G47" i="17"/>
  <c r="F310" i="6"/>
  <c r="Q68" i="28"/>
  <c r="N276" i="6"/>
  <c r="J5" i="2"/>
  <c r="X275" i="6"/>
  <c r="I368" i="6"/>
  <c r="J368" i="6"/>
  <c r="Q368" i="6"/>
  <c r="H368" i="6"/>
  <c r="F375" i="6"/>
  <c r="G375" i="6" s="1"/>
  <c r="D375" i="6"/>
  <c r="C79" i="6"/>
  <c r="J369" i="6"/>
  <c r="Q369" i="6"/>
  <c r="H369" i="6"/>
  <c r="I369" i="6"/>
  <c r="C113" i="28"/>
  <c r="AP357" i="6"/>
  <c r="D19" i="2"/>
  <c r="F372" i="6"/>
  <c r="G372" i="6" s="1"/>
  <c r="C76" i="6"/>
  <c r="D372" i="6"/>
  <c r="F367" i="6"/>
  <c r="G367" i="6" s="1"/>
  <c r="C73" i="6"/>
  <c r="D367" i="6"/>
  <c r="C46" i="6"/>
  <c r="D329" i="6"/>
  <c r="F377" i="6"/>
  <c r="G377" i="6" s="1"/>
  <c r="C81" i="6"/>
  <c r="D377" i="6"/>
  <c r="F319" i="6"/>
  <c r="G319" i="6" s="1"/>
  <c r="C38" i="6"/>
  <c r="D319" i="6"/>
  <c r="H305" i="6"/>
  <c r="I305" i="6"/>
  <c r="Q305" i="6"/>
  <c r="J305" i="6"/>
  <c r="F261" i="6"/>
  <c r="F312" i="6"/>
  <c r="D312" i="6"/>
  <c r="C33" i="6"/>
  <c r="F373" i="6"/>
  <c r="G373" i="6" s="1"/>
  <c r="D373" i="6"/>
  <c r="C77" i="6"/>
  <c r="J207" i="6"/>
  <c r="K207" i="6"/>
  <c r="F320" i="6"/>
  <c r="G320" i="6" s="1"/>
  <c r="C39" i="6"/>
  <c r="D320" i="6"/>
  <c r="J8" i="2"/>
  <c r="X278" i="6"/>
  <c r="C47" i="6"/>
  <c r="D330" i="6"/>
  <c r="F382" i="6"/>
  <c r="G382" i="6" s="1"/>
  <c r="C84" i="6"/>
  <c r="D382" i="6"/>
  <c r="AP356" i="6"/>
  <c r="F366" i="6"/>
  <c r="G366" i="6" s="1"/>
  <c r="D18" i="2"/>
  <c r="C72" i="6"/>
  <c r="D366" i="6"/>
  <c r="D374" i="6"/>
  <c r="F374" i="6"/>
  <c r="G374" i="6" s="1"/>
  <c r="C78" i="6"/>
  <c r="F381" i="6"/>
  <c r="G381" i="6" s="1"/>
  <c r="D381" i="6"/>
  <c r="C83" i="6"/>
  <c r="F311" i="6"/>
  <c r="G311" i="6" s="1"/>
  <c r="D311" i="6"/>
  <c r="C32" i="6"/>
  <c r="F380" i="6"/>
  <c r="G380" i="6" s="1"/>
  <c r="D20" i="2"/>
  <c r="AP358" i="6"/>
  <c r="C82" i="6"/>
  <c r="D380" i="6"/>
  <c r="K17" i="12"/>
  <c r="M17" i="12"/>
  <c r="G17" i="12"/>
  <c r="C17" i="12"/>
  <c r="D17" i="12"/>
  <c r="H17" i="12"/>
  <c r="F17" i="12"/>
  <c r="J17" i="12"/>
  <c r="I17" i="12"/>
  <c r="L17" i="12"/>
  <c r="E17" i="12"/>
  <c r="N479" i="6"/>
  <c r="J32" i="2"/>
  <c r="X478" i="6"/>
  <c r="L12" i="7"/>
  <c r="J12" i="7"/>
  <c r="E12" i="7"/>
  <c r="D12" i="7"/>
  <c r="G12" i="7"/>
  <c r="K12" i="7"/>
  <c r="F12" i="7"/>
  <c r="I12" i="7"/>
  <c r="C12" i="7"/>
  <c r="H12" i="7"/>
  <c r="E16" i="22"/>
  <c r="B18" i="9"/>
  <c r="G63" i="22"/>
  <c r="I63" i="22" s="1"/>
  <c r="AB105" i="3"/>
  <c r="D75" i="23" l="1"/>
  <c r="D39" i="23"/>
  <c r="P224" i="6"/>
  <c r="K224" i="6" s="1"/>
  <c r="I14" i="2" s="1"/>
  <c r="D365" i="6"/>
  <c r="BA357" i="6" s="1"/>
  <c r="D327" i="6"/>
  <c r="C125" i="17"/>
  <c r="D39" i="24" s="1"/>
  <c r="D45" i="9"/>
  <c r="D46" i="24"/>
  <c r="D87" i="23"/>
  <c r="I374" i="6"/>
  <c r="H374" i="6"/>
  <c r="J374" i="6"/>
  <c r="Q374" i="6"/>
  <c r="B22" i="22"/>
  <c r="E110" i="3"/>
  <c r="E9" i="23"/>
  <c r="R368" i="6"/>
  <c r="S368" i="6"/>
  <c r="G334" i="6"/>
  <c r="Q89" i="28"/>
  <c r="C115" i="28"/>
  <c r="D45" i="23"/>
  <c r="B52" i="2"/>
  <c r="B264" i="6"/>
  <c r="B53" i="2" s="1"/>
  <c r="L119" i="17"/>
  <c r="AR87" i="17"/>
  <c r="D81" i="23"/>
  <c r="D67" i="23"/>
  <c r="D41" i="24"/>
  <c r="D35" i="24"/>
  <c r="D37" i="24"/>
  <c r="D36" i="24"/>
  <c r="D72" i="23"/>
  <c r="D371" i="6"/>
  <c r="BA358" i="6" s="1"/>
  <c r="J375" i="6"/>
  <c r="I375" i="6"/>
  <c r="Q375" i="6"/>
  <c r="H375" i="6"/>
  <c r="G258" i="6"/>
  <c r="I258" i="6" s="1"/>
  <c r="W253" i="6" s="1"/>
  <c r="K258" i="6"/>
  <c r="T26" i="28"/>
  <c r="J258" i="6"/>
  <c r="B24" i="22"/>
  <c r="E15" i="23"/>
  <c r="E112" i="3"/>
  <c r="I311" i="6"/>
  <c r="Q311" i="6"/>
  <c r="H311" i="6"/>
  <c r="J311" i="6"/>
  <c r="J366" i="6"/>
  <c r="I366" i="6"/>
  <c r="Q366" i="6"/>
  <c r="H366" i="6"/>
  <c r="I382" i="6"/>
  <c r="H382" i="6"/>
  <c r="J382" i="6"/>
  <c r="Q382" i="6"/>
  <c r="Q320" i="6"/>
  <c r="F262" i="6"/>
  <c r="J320" i="6"/>
  <c r="H320" i="6"/>
  <c r="I320" i="6"/>
  <c r="BB79" i="17"/>
  <c r="C86" i="23" s="1"/>
  <c r="G312" i="6"/>
  <c r="S305" i="6"/>
  <c r="R305" i="6"/>
  <c r="I319" i="6"/>
  <c r="Q319" i="6"/>
  <c r="J319" i="6"/>
  <c r="H319" i="6"/>
  <c r="J377" i="6"/>
  <c r="H377" i="6"/>
  <c r="I377" i="6"/>
  <c r="Q377" i="6"/>
  <c r="I372" i="6"/>
  <c r="Q372" i="6"/>
  <c r="H372" i="6"/>
  <c r="J372" i="6"/>
  <c r="R369" i="6"/>
  <c r="S369" i="6"/>
  <c r="AB97" i="3"/>
  <c r="E6" i="22"/>
  <c r="B9" i="7"/>
  <c r="G55" i="22"/>
  <c r="I55" i="22" s="1"/>
  <c r="P57" i="22" s="1"/>
  <c r="S57" i="22" s="1"/>
  <c r="C47" i="17"/>
  <c r="G48" i="17"/>
  <c r="D69" i="23"/>
  <c r="C114" i="28"/>
  <c r="D44" i="23"/>
  <c r="S321" i="6"/>
  <c r="R321" i="6"/>
  <c r="Q376" i="6"/>
  <c r="H376" i="6"/>
  <c r="J376" i="6"/>
  <c r="I376" i="6"/>
  <c r="D379" i="6"/>
  <c r="BA359" i="6" s="1"/>
  <c r="H380" i="6"/>
  <c r="I380" i="6"/>
  <c r="Q380" i="6"/>
  <c r="J380" i="6"/>
  <c r="H381" i="6"/>
  <c r="I381" i="6"/>
  <c r="J381" i="6"/>
  <c r="Q381" i="6"/>
  <c r="B18" i="7"/>
  <c r="AB100" i="3"/>
  <c r="G58" i="22"/>
  <c r="I58" i="22" s="1"/>
  <c r="E9" i="22"/>
  <c r="F9" i="22" s="1"/>
  <c r="I373" i="6"/>
  <c r="H373" i="6"/>
  <c r="Q373" i="6"/>
  <c r="J373" i="6"/>
  <c r="G261" i="6"/>
  <c r="I261" i="6" s="1"/>
  <c r="Y251" i="6" s="1"/>
  <c r="J261" i="6"/>
  <c r="K261" i="6"/>
  <c r="T29" i="28"/>
  <c r="I367" i="6"/>
  <c r="Q367" i="6"/>
  <c r="J367" i="6"/>
  <c r="H367" i="6"/>
  <c r="F264" i="6"/>
  <c r="B23" i="22"/>
  <c r="E111" i="3"/>
  <c r="E12" i="23"/>
  <c r="K5" i="2"/>
  <c r="E295" i="6"/>
  <c r="L4" i="2" s="1"/>
  <c r="D34" i="24"/>
  <c r="D48" i="24"/>
  <c r="B10" i="12"/>
  <c r="G82" i="22"/>
  <c r="I82" i="22" s="1"/>
  <c r="E40" i="22"/>
  <c r="AB124" i="3"/>
  <c r="E498" i="6"/>
  <c r="L31" i="2" s="1"/>
  <c r="K32" i="2"/>
  <c r="Q63" i="22"/>
  <c r="P63" i="22"/>
  <c r="S63" i="22" s="1"/>
  <c r="J18" i="9"/>
  <c r="L18" i="9"/>
  <c r="D18" i="9"/>
  <c r="K18" i="9"/>
  <c r="H18" i="9"/>
  <c r="M18" i="9"/>
  <c r="I18" i="9"/>
  <c r="E18" i="9"/>
  <c r="G18" i="9"/>
  <c r="F18" i="9"/>
  <c r="H16" i="22"/>
  <c r="F16" i="22"/>
  <c r="AC123" i="3" l="1"/>
  <c r="C357" i="6"/>
  <c r="D109" i="28"/>
  <c r="AB38" i="23"/>
  <c r="Q108" i="28" s="1"/>
  <c r="C393" i="6"/>
  <c r="D140" i="28"/>
  <c r="AB74" i="23"/>
  <c r="Q139" i="28" s="1"/>
  <c r="D43" i="23"/>
  <c r="D42" i="23"/>
  <c r="D76" i="23"/>
  <c r="D78" i="23"/>
  <c r="D41" i="23"/>
  <c r="D77" i="23"/>
  <c r="D40" i="23"/>
  <c r="E333" i="6"/>
  <c r="Y106" i="3"/>
  <c r="L224" i="6"/>
  <c r="AC96" i="3"/>
  <c r="D166" i="28"/>
  <c r="C429" i="6"/>
  <c r="H371" i="6"/>
  <c r="C427" i="6"/>
  <c r="D164" i="28"/>
  <c r="Q163" i="28"/>
  <c r="D159" i="28"/>
  <c r="C422" i="6"/>
  <c r="D198" i="6"/>
  <c r="R17" i="7"/>
  <c r="F295" i="6"/>
  <c r="AB275" i="6"/>
  <c r="G123" i="22"/>
  <c r="K55" i="3"/>
  <c r="O23" i="22"/>
  <c r="C69" i="22"/>
  <c r="S373" i="6"/>
  <c r="R373" i="6"/>
  <c r="I18" i="7"/>
  <c r="J18" i="7"/>
  <c r="K18" i="7"/>
  <c r="F18" i="7"/>
  <c r="G18" i="7"/>
  <c r="D18" i="7"/>
  <c r="H18" i="7"/>
  <c r="L18" i="7"/>
  <c r="C18" i="7"/>
  <c r="E18" i="7"/>
  <c r="J379" i="6"/>
  <c r="Q55" i="22"/>
  <c r="P56" i="22"/>
  <c r="S56" i="22" s="1"/>
  <c r="P55" i="22"/>
  <c r="V54" i="22"/>
  <c r="N128" i="22" s="1"/>
  <c r="R320" i="6"/>
  <c r="S320" i="6"/>
  <c r="H365" i="6"/>
  <c r="D138" i="28"/>
  <c r="C390" i="6"/>
  <c r="C423" i="6"/>
  <c r="D160" i="28"/>
  <c r="C399" i="6"/>
  <c r="AB80" i="23"/>
  <c r="Q144" i="28" s="1"/>
  <c r="C82" i="23"/>
  <c r="D145" i="28"/>
  <c r="C83" i="23"/>
  <c r="Q334" i="6"/>
  <c r="I334" i="6"/>
  <c r="J334" i="6"/>
  <c r="H334" i="6"/>
  <c r="C434" i="6"/>
  <c r="D170" i="28"/>
  <c r="G264" i="6"/>
  <c r="T32" i="28"/>
  <c r="K264" i="6"/>
  <c r="Q268" i="6" s="1"/>
  <c r="J264" i="6"/>
  <c r="R367" i="6"/>
  <c r="S367" i="6"/>
  <c r="R376" i="6"/>
  <c r="S376" i="6"/>
  <c r="D135" i="28"/>
  <c r="C387" i="6"/>
  <c r="E9" i="7"/>
  <c r="C9" i="7"/>
  <c r="F9" i="7"/>
  <c r="G9" i="7"/>
  <c r="D9" i="7"/>
  <c r="L9" i="7"/>
  <c r="J9" i="7"/>
  <c r="K9" i="7"/>
  <c r="I9" i="7"/>
  <c r="H9" i="7"/>
  <c r="S377" i="6"/>
  <c r="R377" i="6"/>
  <c r="R382" i="6"/>
  <c r="S382" i="6"/>
  <c r="R375" i="6"/>
  <c r="S375" i="6"/>
  <c r="C424" i="6"/>
  <c r="D161" i="28"/>
  <c r="D115" i="28"/>
  <c r="C363" i="6"/>
  <c r="C68" i="22"/>
  <c r="O22" i="22"/>
  <c r="R374" i="6"/>
  <c r="S374" i="6"/>
  <c r="C407" i="6"/>
  <c r="D150" i="28"/>
  <c r="AB85" i="23"/>
  <c r="Q148" i="28" s="1"/>
  <c r="C313" i="6"/>
  <c r="D71" i="28"/>
  <c r="Q58" i="22"/>
  <c r="P58" i="22"/>
  <c r="S381" i="6"/>
  <c r="R381" i="6"/>
  <c r="R380" i="6"/>
  <c r="I379" i="6"/>
  <c r="S380" i="6"/>
  <c r="G49" i="17"/>
  <c r="C48" i="17"/>
  <c r="G4" i="22"/>
  <c r="F6" i="22"/>
  <c r="Q312" i="6"/>
  <c r="H312" i="6"/>
  <c r="I312" i="6"/>
  <c r="J312" i="6"/>
  <c r="F257" i="6"/>
  <c r="I365" i="6"/>
  <c r="S366" i="6"/>
  <c r="R366" i="6"/>
  <c r="C70" i="22"/>
  <c r="O24" i="22"/>
  <c r="D89" i="23"/>
  <c r="D33" i="24"/>
  <c r="D44" i="24"/>
  <c r="C436" i="6"/>
  <c r="D172" i="28"/>
  <c r="L261" i="6"/>
  <c r="H379" i="6"/>
  <c r="D114" i="28"/>
  <c r="C362" i="6"/>
  <c r="S372" i="6"/>
  <c r="R372" i="6"/>
  <c r="I371" i="6"/>
  <c r="S319" i="6"/>
  <c r="R319" i="6"/>
  <c r="D86" i="23"/>
  <c r="C149" i="28"/>
  <c r="G262" i="6"/>
  <c r="I262" i="6" s="1"/>
  <c r="Y253" i="6" s="1"/>
  <c r="K262" i="6"/>
  <c r="J262" i="6"/>
  <c r="T30" i="28"/>
  <c r="J365" i="6"/>
  <c r="S311" i="6"/>
  <c r="R311" i="6"/>
  <c r="L258" i="6"/>
  <c r="C425" i="6"/>
  <c r="D162" i="28"/>
  <c r="C385" i="6"/>
  <c r="D133" i="28"/>
  <c r="AB66" i="23"/>
  <c r="Q132" i="28" s="1"/>
  <c r="J371" i="6"/>
  <c r="AR88" i="17"/>
  <c r="D90" i="23"/>
  <c r="D68" i="23"/>
  <c r="D40" i="24"/>
  <c r="D45" i="24"/>
  <c r="D71" i="23"/>
  <c r="D70" i="23"/>
  <c r="D88" i="23"/>
  <c r="D47" i="24"/>
  <c r="G38" i="22"/>
  <c r="G168" i="22" s="1"/>
  <c r="F40" i="22"/>
  <c r="Q82" i="22"/>
  <c r="V81" i="22"/>
  <c r="N173" i="22" s="1"/>
  <c r="K90" i="3"/>
  <c r="D203" i="6"/>
  <c r="F498" i="6"/>
  <c r="AB478" i="6"/>
  <c r="T18" i="12"/>
  <c r="G10" i="12"/>
  <c r="I10" i="12"/>
  <c r="E10" i="12"/>
  <c r="C10" i="12"/>
  <c r="M10" i="12"/>
  <c r="F10" i="12"/>
  <c r="K10" i="12"/>
  <c r="J10" i="12"/>
  <c r="H10" i="12"/>
  <c r="L10" i="12"/>
  <c r="D10" i="12"/>
  <c r="D142" i="28" l="1"/>
  <c r="C395" i="6"/>
  <c r="C91" i="6"/>
  <c r="F393" i="6"/>
  <c r="G393" i="6" s="1"/>
  <c r="D22" i="2"/>
  <c r="AP360" i="6"/>
  <c r="D393" i="6"/>
  <c r="C359" i="6"/>
  <c r="D111" i="28"/>
  <c r="C361" i="6"/>
  <c r="D113" i="28"/>
  <c r="D112" i="28"/>
  <c r="C360" i="6"/>
  <c r="C396" i="6"/>
  <c r="D143" i="28"/>
  <c r="D110" i="28"/>
  <c r="C358" i="6"/>
  <c r="C394" i="6"/>
  <c r="D141" i="28"/>
  <c r="D357" i="6"/>
  <c r="F357" i="6"/>
  <c r="G357" i="6" s="1"/>
  <c r="C65" i="6"/>
  <c r="AP355" i="6"/>
  <c r="D17" i="2"/>
  <c r="S58" i="22"/>
  <c r="P225" i="6"/>
  <c r="I15" i="2" s="1"/>
  <c r="C114" i="6"/>
  <c r="D429" i="6"/>
  <c r="F429" i="6"/>
  <c r="G429" i="6" s="1"/>
  <c r="Q378" i="6"/>
  <c r="Q371" i="6" s="1"/>
  <c r="S55" i="22"/>
  <c r="L262" i="6"/>
  <c r="Q383" i="6"/>
  <c r="Q379" i="6" s="1"/>
  <c r="C435" i="6"/>
  <c r="D171" i="28"/>
  <c r="S370" i="6"/>
  <c r="T367" i="6" s="1"/>
  <c r="F313" i="6"/>
  <c r="C34" i="6"/>
  <c r="D313" i="6"/>
  <c r="D363" i="6"/>
  <c r="F363" i="6"/>
  <c r="G363" i="6" s="1"/>
  <c r="C71" i="6"/>
  <c r="C87" i="6"/>
  <c r="F387" i="6"/>
  <c r="G387" i="6" s="1"/>
  <c r="D387" i="6"/>
  <c r="F198" i="6"/>
  <c r="G198" i="6"/>
  <c r="H4" i="22" s="1"/>
  <c r="E4" i="22"/>
  <c r="H54" i="22" s="1"/>
  <c r="L54" i="22" s="1"/>
  <c r="C428" i="6"/>
  <c r="D165" i="28"/>
  <c r="D21" i="2"/>
  <c r="F385" i="6"/>
  <c r="G385" i="6" s="1"/>
  <c r="AP359" i="6"/>
  <c r="C85" i="6"/>
  <c r="D385" i="6"/>
  <c r="S383" i="6"/>
  <c r="O25" i="23"/>
  <c r="I264" i="6"/>
  <c r="D399" i="6"/>
  <c r="F399" i="6"/>
  <c r="G399" i="6" s="1"/>
  <c r="D23" i="2"/>
  <c r="C95" i="6"/>
  <c r="AP361" i="6"/>
  <c r="Q370" i="6"/>
  <c r="Q365" i="6" s="1"/>
  <c r="F422" i="6"/>
  <c r="G422" i="6" s="1"/>
  <c r="C108" i="6"/>
  <c r="D422" i="6"/>
  <c r="D136" i="28"/>
  <c r="C388" i="6"/>
  <c r="C386" i="6"/>
  <c r="D134" i="28"/>
  <c r="S378" i="6"/>
  <c r="T374" i="6" s="1"/>
  <c r="C432" i="6"/>
  <c r="D168" i="28"/>
  <c r="AC43" i="24"/>
  <c r="C421" i="6"/>
  <c r="AC32" i="24"/>
  <c r="R157" i="28" s="1"/>
  <c r="D158" i="28"/>
  <c r="S312" i="6"/>
  <c r="R312" i="6"/>
  <c r="F407" i="6"/>
  <c r="G407" i="6" s="1"/>
  <c r="C99" i="6"/>
  <c r="D407" i="6"/>
  <c r="L264" i="6"/>
  <c r="F434" i="6"/>
  <c r="G434" i="6" s="1"/>
  <c r="D434" i="6"/>
  <c r="C117" i="6"/>
  <c r="C55" i="3"/>
  <c r="N123" i="22"/>
  <c r="N17" i="7"/>
  <c r="H123" i="22"/>
  <c r="C433" i="6"/>
  <c r="D169" i="28"/>
  <c r="B83" i="23"/>
  <c r="C406" i="6"/>
  <c r="B90" i="23"/>
  <c r="D149" i="28"/>
  <c r="B82" i="23"/>
  <c r="B89" i="23"/>
  <c r="B88" i="23"/>
  <c r="B87" i="23"/>
  <c r="F436" i="6"/>
  <c r="G436" i="6" s="1"/>
  <c r="D436" i="6"/>
  <c r="C119" i="6"/>
  <c r="G257" i="6"/>
  <c r="I257" i="6" s="1"/>
  <c r="W252" i="6" s="1"/>
  <c r="Z252" i="6" s="1"/>
  <c r="AA252" i="6" s="1"/>
  <c r="J257" i="6"/>
  <c r="K257" i="6"/>
  <c r="T25" i="28"/>
  <c r="C90" i="6"/>
  <c r="F390" i="6"/>
  <c r="G390" i="6" s="1"/>
  <c r="D390" i="6"/>
  <c r="X128" i="22"/>
  <c r="R128" i="22"/>
  <c r="T128" i="22"/>
  <c r="Y128" i="22"/>
  <c r="Z128" i="22"/>
  <c r="F123" i="22"/>
  <c r="Q128" i="22"/>
  <c r="S128" i="22"/>
  <c r="U128" i="22"/>
  <c r="V128" i="22"/>
  <c r="W128" i="22"/>
  <c r="C408" i="6"/>
  <c r="D151" i="28"/>
  <c r="F362" i="6"/>
  <c r="G362" i="6" s="1"/>
  <c r="D362" i="6"/>
  <c r="C70" i="6"/>
  <c r="R378" i="6"/>
  <c r="D83" i="23"/>
  <c r="C147" i="28"/>
  <c r="AB277" i="6"/>
  <c r="BO17" i="7"/>
  <c r="BO21" i="7" s="1"/>
  <c r="F427" i="6"/>
  <c r="G427" i="6" s="1"/>
  <c r="D427" i="6"/>
  <c r="C112" i="6"/>
  <c r="D137" i="28"/>
  <c r="C389" i="6"/>
  <c r="C410" i="6"/>
  <c r="D153" i="28"/>
  <c r="D425" i="6"/>
  <c r="C111" i="6"/>
  <c r="F425" i="6"/>
  <c r="G425" i="6" s="1"/>
  <c r="C409" i="6"/>
  <c r="D152" i="28"/>
  <c r="R370" i="6"/>
  <c r="G50" i="17"/>
  <c r="C49" i="17"/>
  <c r="R383" i="6"/>
  <c r="F424" i="6"/>
  <c r="G424" i="6" s="1"/>
  <c r="D424" i="6"/>
  <c r="C110" i="6"/>
  <c r="AB28" i="23"/>
  <c r="R334" i="6"/>
  <c r="S334" i="6"/>
  <c r="D82" i="23"/>
  <c r="C146" i="28"/>
  <c r="F423" i="6"/>
  <c r="G423" i="6" s="1"/>
  <c r="C109" i="6"/>
  <c r="D423" i="6"/>
  <c r="I52" i="3"/>
  <c r="F52" i="3"/>
  <c r="G52" i="3"/>
  <c r="E52" i="3"/>
  <c r="K52" i="3"/>
  <c r="A56" i="3"/>
  <c r="H52" i="3"/>
  <c r="L52" i="3"/>
  <c r="M52" i="3"/>
  <c r="C52" i="3"/>
  <c r="D52" i="3"/>
  <c r="J52" i="3"/>
  <c r="BM1" i="12"/>
  <c r="BM3" i="12" s="1"/>
  <c r="AB480" i="6"/>
  <c r="X173" i="22"/>
  <c r="T173" i="22"/>
  <c r="Y173" i="22"/>
  <c r="W173" i="22"/>
  <c r="S173" i="22"/>
  <c r="F168" i="22"/>
  <c r="V173" i="22"/>
  <c r="R173" i="22"/>
  <c r="Q173" i="22"/>
  <c r="Z173" i="22"/>
  <c r="U173" i="22"/>
  <c r="C90" i="3"/>
  <c r="P18" i="12"/>
  <c r="E38" i="22"/>
  <c r="H81" i="22" s="1"/>
  <c r="L81" i="22" s="1"/>
  <c r="G203" i="6"/>
  <c r="H38" i="22" s="1"/>
  <c r="H168" i="22" s="1"/>
  <c r="N168" i="22" s="1"/>
  <c r="A86" i="3"/>
  <c r="F203" i="6"/>
  <c r="H87" i="3"/>
  <c r="M87" i="3"/>
  <c r="D87" i="3"/>
  <c r="C87" i="3"/>
  <c r="J87" i="3"/>
  <c r="K87" i="3"/>
  <c r="G87" i="3"/>
  <c r="E87" i="3"/>
  <c r="I87" i="3"/>
  <c r="F87" i="3"/>
  <c r="L87" i="3"/>
  <c r="Q393" i="6" l="1"/>
  <c r="H393" i="6"/>
  <c r="J393" i="6"/>
  <c r="I393" i="6"/>
  <c r="F394" i="6"/>
  <c r="G394" i="6" s="1"/>
  <c r="D394" i="6"/>
  <c r="C92" i="6"/>
  <c r="D396" i="6"/>
  <c r="C94" i="6"/>
  <c r="F396" i="6"/>
  <c r="G396" i="6" s="1"/>
  <c r="D361" i="6"/>
  <c r="F361" i="6"/>
  <c r="G361" i="6" s="1"/>
  <c r="Q361" i="6" s="1"/>
  <c r="C69" i="6"/>
  <c r="D395" i="6"/>
  <c r="F395" i="6"/>
  <c r="G395" i="6" s="1"/>
  <c r="C93" i="6"/>
  <c r="E109" i="3"/>
  <c r="B21" i="22"/>
  <c r="E6" i="23"/>
  <c r="C67" i="6"/>
  <c r="D359" i="6"/>
  <c r="F359" i="6"/>
  <c r="C412" i="6"/>
  <c r="J357" i="6"/>
  <c r="I357" i="6"/>
  <c r="Q357" i="6"/>
  <c r="H357" i="6"/>
  <c r="D358" i="6"/>
  <c r="C411" i="6"/>
  <c r="C66" i="6"/>
  <c r="F358" i="6"/>
  <c r="F360" i="6"/>
  <c r="G360" i="6" s="1"/>
  <c r="Q360" i="6" s="1"/>
  <c r="C68" i="6"/>
  <c r="D360" i="6"/>
  <c r="E114" i="3"/>
  <c r="E21" i="23"/>
  <c r="B26" i="22"/>
  <c r="T381" i="6"/>
  <c r="U381" i="6" s="1"/>
  <c r="K381" i="6" s="1"/>
  <c r="L381" i="6" s="1"/>
  <c r="U54" i="22"/>
  <c r="W52" i="3" s="1"/>
  <c r="W14" i="7" s="1"/>
  <c r="L225" i="6"/>
  <c r="E344" i="6"/>
  <c r="Y107" i="3"/>
  <c r="I16" i="2"/>
  <c r="H429" i="6"/>
  <c r="J429" i="6"/>
  <c r="I429" i="6"/>
  <c r="Q429" i="6"/>
  <c r="U374" i="6"/>
  <c r="K374" i="6" s="1"/>
  <c r="L374" i="6" s="1"/>
  <c r="I424" i="6"/>
  <c r="J424" i="6"/>
  <c r="H424" i="6"/>
  <c r="Q424" i="6"/>
  <c r="Q425" i="6"/>
  <c r="I425" i="6"/>
  <c r="J425" i="6"/>
  <c r="H425" i="6"/>
  <c r="D410" i="6"/>
  <c r="C102" i="6"/>
  <c r="F410" i="6"/>
  <c r="G410" i="6" s="1"/>
  <c r="I390" i="6"/>
  <c r="J390" i="6"/>
  <c r="H390" i="6"/>
  <c r="Q390" i="6"/>
  <c r="B151" i="28"/>
  <c r="B408" i="6"/>
  <c r="B153" i="28"/>
  <c r="B410" i="6"/>
  <c r="F388" i="6"/>
  <c r="G388" i="6" s="1"/>
  <c r="D388" i="6"/>
  <c r="C88" i="6"/>
  <c r="Q422" i="6"/>
  <c r="I422" i="6"/>
  <c r="H422" i="6"/>
  <c r="J422" i="6"/>
  <c r="W255" i="6"/>
  <c r="Z255" i="6" s="1"/>
  <c r="AA255" i="6" s="1"/>
  <c r="Q267" i="6"/>
  <c r="T380" i="6"/>
  <c r="F428" i="6"/>
  <c r="G428" i="6" s="1"/>
  <c r="D428" i="6"/>
  <c r="D426" i="6" s="1"/>
  <c r="C113" i="6"/>
  <c r="U367" i="6"/>
  <c r="K367" i="6" s="1"/>
  <c r="L367" i="6" s="1"/>
  <c r="T377" i="6"/>
  <c r="U377" i="6" s="1"/>
  <c r="K377" i="6" s="1"/>
  <c r="L377" i="6" s="1"/>
  <c r="T366" i="6"/>
  <c r="T368" i="6"/>
  <c r="U368" i="6" s="1"/>
  <c r="K368" i="6" s="1"/>
  <c r="L368" i="6" s="1"/>
  <c r="T369" i="6"/>
  <c r="U369" i="6" s="1"/>
  <c r="K369" i="6" s="1"/>
  <c r="L369" i="6" s="1"/>
  <c r="C400" i="6"/>
  <c r="D146" i="28"/>
  <c r="D389" i="6"/>
  <c r="F389" i="6"/>
  <c r="G389" i="6" s="1"/>
  <c r="C89" i="6"/>
  <c r="Q427" i="6"/>
  <c r="I427" i="6"/>
  <c r="J427" i="6"/>
  <c r="H427" i="6"/>
  <c r="B152" i="28"/>
  <c r="B409" i="6"/>
  <c r="F406" i="6"/>
  <c r="G406" i="6" s="1"/>
  <c r="C98" i="6"/>
  <c r="D24" i="2"/>
  <c r="AP362" i="6"/>
  <c r="AP365" i="6" s="1"/>
  <c r="I231" i="6" s="1"/>
  <c r="N231" i="6" s="1"/>
  <c r="D406" i="6"/>
  <c r="T376" i="6"/>
  <c r="U376" i="6" s="1"/>
  <c r="K376" i="6" s="1"/>
  <c r="L376" i="6" s="1"/>
  <c r="I407" i="6"/>
  <c r="H407" i="6"/>
  <c r="J407" i="6"/>
  <c r="Q407" i="6"/>
  <c r="F432" i="6"/>
  <c r="G432" i="6" s="1"/>
  <c r="C115" i="6"/>
  <c r="D432" i="6"/>
  <c r="E24" i="23"/>
  <c r="E115" i="3"/>
  <c r="B27" i="22"/>
  <c r="C73" i="22" s="1"/>
  <c r="Q385" i="6"/>
  <c r="J385" i="6"/>
  <c r="I385" i="6"/>
  <c r="H385" i="6"/>
  <c r="J54" i="22"/>
  <c r="K54" i="22" s="1"/>
  <c r="M27" i="17"/>
  <c r="T44" i="17"/>
  <c r="W44" i="17" s="1"/>
  <c r="D409" i="6"/>
  <c r="F409" i="6"/>
  <c r="G409" i="6" s="1"/>
  <c r="C101" i="6"/>
  <c r="D147" i="28"/>
  <c r="C401" i="6"/>
  <c r="F408" i="6"/>
  <c r="G408" i="6" s="1"/>
  <c r="C100" i="6"/>
  <c r="D408" i="6"/>
  <c r="L257" i="6"/>
  <c r="Q436" i="6"/>
  <c r="I436" i="6"/>
  <c r="J436" i="6"/>
  <c r="H436" i="6"/>
  <c r="B400" i="6"/>
  <c r="B146" i="28"/>
  <c r="B147" i="28"/>
  <c r="B401" i="6"/>
  <c r="D433" i="6"/>
  <c r="C116" i="6"/>
  <c r="F433" i="6"/>
  <c r="G433" i="6" s="1"/>
  <c r="Z127" i="22"/>
  <c r="Z123" i="22" s="1"/>
  <c r="H434" i="6"/>
  <c r="I434" i="6"/>
  <c r="J434" i="6"/>
  <c r="Q434" i="6"/>
  <c r="T382" i="6"/>
  <c r="U382" i="6" s="1"/>
  <c r="K382" i="6" s="1"/>
  <c r="L382" i="6" s="1"/>
  <c r="F421" i="6"/>
  <c r="G421" i="6" s="1"/>
  <c r="D421" i="6"/>
  <c r="D420" i="6" s="1"/>
  <c r="C107" i="6"/>
  <c r="H399" i="6"/>
  <c r="Q399" i="6"/>
  <c r="I399" i="6"/>
  <c r="J399" i="6"/>
  <c r="B25" i="22"/>
  <c r="C71" i="22" s="1"/>
  <c r="E18" i="23"/>
  <c r="E113" i="3"/>
  <c r="J41" i="22"/>
  <c r="J21" i="22"/>
  <c r="J40" i="22"/>
  <c r="J42" i="22"/>
  <c r="J16" i="22"/>
  <c r="J8" i="22"/>
  <c r="J33" i="22"/>
  <c r="J37" i="22"/>
  <c r="J7" i="22"/>
  <c r="J32" i="22"/>
  <c r="J28" i="22"/>
  <c r="J24" i="22"/>
  <c r="J14" i="22"/>
  <c r="J26" i="22"/>
  <c r="J18" i="22"/>
  <c r="J23" i="22"/>
  <c r="J13" i="22"/>
  <c r="J9" i="22"/>
  <c r="J15" i="22"/>
  <c r="J36" i="22"/>
  <c r="J22" i="22"/>
  <c r="J6" i="22"/>
  <c r="J17" i="22"/>
  <c r="I387" i="6"/>
  <c r="Q387" i="6"/>
  <c r="H387" i="6"/>
  <c r="J387" i="6"/>
  <c r="J363" i="6"/>
  <c r="H363" i="6"/>
  <c r="I363" i="6"/>
  <c r="Q363" i="6"/>
  <c r="G313" i="6"/>
  <c r="BB9" i="9"/>
  <c r="F435" i="6"/>
  <c r="G435" i="6" s="1"/>
  <c r="D435" i="6"/>
  <c r="C118" i="6"/>
  <c r="Q423" i="6"/>
  <c r="H423" i="6"/>
  <c r="I423" i="6"/>
  <c r="J423" i="6"/>
  <c r="C50" i="17"/>
  <c r="G51" i="17"/>
  <c r="I362" i="6"/>
  <c r="J362" i="6"/>
  <c r="Q362" i="6"/>
  <c r="H362" i="6"/>
  <c r="T373" i="6"/>
  <c r="U373" i="6" s="1"/>
  <c r="K373" i="6" s="1"/>
  <c r="L373" i="6" s="1"/>
  <c r="T375" i="6"/>
  <c r="U375" i="6" s="1"/>
  <c r="K375" i="6" s="1"/>
  <c r="L375" i="6" s="1"/>
  <c r="B150" i="28"/>
  <c r="B407" i="6"/>
  <c r="T372" i="6"/>
  <c r="C86" i="6"/>
  <c r="D386" i="6"/>
  <c r="F386" i="6"/>
  <c r="J81" i="22"/>
  <c r="N81" i="22" s="1"/>
  <c r="X172" i="22"/>
  <c r="X168" i="22" s="1"/>
  <c r="T172" i="22"/>
  <c r="W172" i="22"/>
  <c r="W168" i="22" s="1"/>
  <c r="R172" i="22"/>
  <c r="R168" i="22" s="1"/>
  <c r="T168" i="22"/>
  <c r="U172" i="22"/>
  <c r="U168" i="22" s="1"/>
  <c r="Y172" i="22"/>
  <c r="Y168" i="22" s="1"/>
  <c r="H361" i="6" l="1"/>
  <c r="I360" i="6"/>
  <c r="D392" i="6"/>
  <c r="BA361" i="6" s="1"/>
  <c r="H360" i="6"/>
  <c r="J361" i="6"/>
  <c r="J360" i="6"/>
  <c r="I361" i="6"/>
  <c r="R361" i="6" s="1"/>
  <c r="D356" i="6"/>
  <c r="BA356" i="6" s="1"/>
  <c r="F411" i="6"/>
  <c r="G411" i="6" s="1"/>
  <c r="G358" i="6"/>
  <c r="D412" i="6"/>
  <c r="C104" i="6"/>
  <c r="I395" i="6"/>
  <c r="Q395" i="6"/>
  <c r="J395" i="6"/>
  <c r="H395" i="6"/>
  <c r="U46" i="17"/>
  <c r="T46" i="17"/>
  <c r="F412" i="6"/>
  <c r="G412" i="6" s="1"/>
  <c r="G359" i="6"/>
  <c r="C67" i="22"/>
  <c r="O21" i="22"/>
  <c r="J396" i="6"/>
  <c r="Q396" i="6"/>
  <c r="I396" i="6"/>
  <c r="H396" i="6"/>
  <c r="O26" i="22"/>
  <c r="C72" i="22"/>
  <c r="D411" i="6"/>
  <c r="C103" i="6"/>
  <c r="S357" i="6"/>
  <c r="R357" i="6"/>
  <c r="I394" i="6"/>
  <c r="Q394" i="6"/>
  <c r="H394" i="6"/>
  <c r="J394" i="6"/>
  <c r="R393" i="6"/>
  <c r="S393" i="6"/>
  <c r="Q130" i="22"/>
  <c r="R130" i="22" s="1"/>
  <c r="S130" i="22" s="1"/>
  <c r="T130" i="22" s="1"/>
  <c r="U130" i="22" s="1"/>
  <c r="V130" i="22" s="1"/>
  <c r="W130" i="22" s="1"/>
  <c r="X130" i="22" s="1"/>
  <c r="Y130" i="22" s="1"/>
  <c r="Z130" i="22" s="1"/>
  <c r="J124" i="22" s="1"/>
  <c r="J5" i="22" s="1"/>
  <c r="R429" i="6"/>
  <c r="S429" i="6"/>
  <c r="D384" i="6"/>
  <c r="BA360" i="6" s="1"/>
  <c r="D431" i="6"/>
  <c r="N54" i="22"/>
  <c r="G386" i="6"/>
  <c r="C51" i="17"/>
  <c r="G52" i="17"/>
  <c r="Q435" i="6"/>
  <c r="J435" i="6"/>
  <c r="H435" i="6"/>
  <c r="I435" i="6"/>
  <c r="Q433" i="6"/>
  <c r="J433" i="6"/>
  <c r="H433" i="6"/>
  <c r="I433" i="6"/>
  <c r="R427" i="6"/>
  <c r="S427" i="6"/>
  <c r="J428" i="6"/>
  <c r="Q428" i="6"/>
  <c r="H428" i="6"/>
  <c r="I428" i="6"/>
  <c r="AB26" i="23"/>
  <c r="O66" i="3"/>
  <c r="N143" i="22"/>
  <c r="S422" i="6"/>
  <c r="R422" i="6"/>
  <c r="I388" i="6"/>
  <c r="Q388" i="6"/>
  <c r="H388" i="6"/>
  <c r="J388" i="6"/>
  <c r="I410" i="6"/>
  <c r="J410" i="6"/>
  <c r="H410" i="6"/>
  <c r="Q410" i="6"/>
  <c r="R360" i="6"/>
  <c r="S360" i="6"/>
  <c r="M28" i="17"/>
  <c r="R28" i="17" s="1"/>
  <c r="S363" i="6"/>
  <c r="R363" i="6"/>
  <c r="R399" i="6"/>
  <c r="S399" i="6"/>
  <c r="S436" i="6"/>
  <c r="R436" i="6"/>
  <c r="C66" i="9"/>
  <c r="J406" i="6"/>
  <c r="I406" i="6"/>
  <c r="Q406" i="6"/>
  <c r="H406" i="6"/>
  <c r="I227" i="6"/>
  <c r="I230" i="6"/>
  <c r="N230" i="6" s="1"/>
  <c r="I229" i="6"/>
  <c r="I228" i="6"/>
  <c r="I232" i="6"/>
  <c r="N232" i="6" s="1"/>
  <c r="S425" i="6"/>
  <c r="R425" i="6"/>
  <c r="R362" i="6"/>
  <c r="S362" i="6"/>
  <c r="H421" i="6"/>
  <c r="I421" i="6"/>
  <c r="J421" i="6"/>
  <c r="Q421" i="6"/>
  <c r="AF419" i="6"/>
  <c r="AF421" i="6"/>
  <c r="AF418" i="6"/>
  <c r="AF422" i="6"/>
  <c r="AF420" i="6"/>
  <c r="R27" i="17"/>
  <c r="O39" i="17"/>
  <c r="O40" i="17" s="1"/>
  <c r="R385" i="6"/>
  <c r="S385" i="6"/>
  <c r="AT362" i="6"/>
  <c r="I234" i="6"/>
  <c r="N234" i="6" s="1"/>
  <c r="I233" i="6"/>
  <c r="S390" i="6"/>
  <c r="R390" i="6"/>
  <c r="R424" i="6"/>
  <c r="S424" i="6"/>
  <c r="T378" i="6"/>
  <c r="U372" i="6"/>
  <c r="R423" i="6"/>
  <c r="S423" i="6"/>
  <c r="Q313" i="6"/>
  <c r="H313" i="6"/>
  <c r="J313" i="6"/>
  <c r="J310" i="6" s="1"/>
  <c r="I313" i="6"/>
  <c r="R387" i="6"/>
  <c r="S387" i="6"/>
  <c r="R434" i="6"/>
  <c r="S434" i="6"/>
  <c r="I408" i="6"/>
  <c r="J408" i="6"/>
  <c r="Q408" i="6"/>
  <c r="H408" i="6"/>
  <c r="F401" i="6"/>
  <c r="G401" i="6" s="1"/>
  <c r="C97" i="6"/>
  <c r="D401" i="6"/>
  <c r="H409" i="6"/>
  <c r="Q409" i="6"/>
  <c r="I409" i="6"/>
  <c r="J409" i="6"/>
  <c r="J432" i="6"/>
  <c r="Q432" i="6"/>
  <c r="H432" i="6"/>
  <c r="I432" i="6"/>
  <c r="S407" i="6"/>
  <c r="R407" i="6"/>
  <c r="E27" i="23"/>
  <c r="B28" i="22"/>
  <c r="E116" i="3"/>
  <c r="H389" i="6"/>
  <c r="J389" i="6"/>
  <c r="Q389" i="6"/>
  <c r="I389" i="6"/>
  <c r="D400" i="6"/>
  <c r="F400" i="6"/>
  <c r="G400" i="6" s="1"/>
  <c r="C96" i="6"/>
  <c r="T370" i="6"/>
  <c r="U366" i="6"/>
  <c r="T383" i="6"/>
  <c r="U380" i="6"/>
  <c r="I392" i="6" l="1"/>
  <c r="D405" i="6"/>
  <c r="BA363" i="6" s="1"/>
  <c r="D398" i="6"/>
  <c r="BA362" i="6" s="1"/>
  <c r="J392" i="6"/>
  <c r="H392" i="6"/>
  <c r="Q397" i="6" s="1"/>
  <c r="Q392" i="6" s="1"/>
  <c r="S361" i="6"/>
  <c r="H412" i="6"/>
  <c r="J412" i="6"/>
  <c r="Q412" i="6"/>
  <c r="I412" i="6"/>
  <c r="S394" i="6"/>
  <c r="R394" i="6"/>
  <c r="S396" i="6"/>
  <c r="R396" i="6"/>
  <c r="J358" i="6"/>
  <c r="H358" i="6"/>
  <c r="I358" i="6"/>
  <c r="Q358" i="6"/>
  <c r="H359" i="6"/>
  <c r="I359" i="6"/>
  <c r="J359" i="6"/>
  <c r="Q359" i="6"/>
  <c r="S395" i="6"/>
  <c r="R395" i="6"/>
  <c r="J411" i="6"/>
  <c r="Q411" i="6"/>
  <c r="H411" i="6"/>
  <c r="I411" i="6"/>
  <c r="AF358" i="6"/>
  <c r="H431" i="6"/>
  <c r="AF423" i="6" s="1"/>
  <c r="AG420" i="6" s="1"/>
  <c r="O74" i="3" s="1"/>
  <c r="AC19" i="24" s="1"/>
  <c r="J431" i="6"/>
  <c r="H419" i="6"/>
  <c r="J419" i="6"/>
  <c r="K366" i="6"/>
  <c r="L366" i="6" s="1"/>
  <c r="M365" i="6" s="1"/>
  <c r="BB357" i="6" s="1"/>
  <c r="U370" i="6"/>
  <c r="S313" i="6"/>
  <c r="R313" i="6"/>
  <c r="R317" i="6" s="1"/>
  <c r="K372" i="6"/>
  <c r="L372" i="6" s="1"/>
  <c r="M371" i="6" s="1"/>
  <c r="BB358" i="6" s="1"/>
  <c r="U378" i="6"/>
  <c r="R406" i="6"/>
  <c r="S406" i="6"/>
  <c r="R388" i="6"/>
  <c r="S388" i="6"/>
  <c r="R433" i="6"/>
  <c r="S433" i="6"/>
  <c r="G53" i="17"/>
  <c r="C52" i="17"/>
  <c r="S389" i="6"/>
  <c r="R389" i="6"/>
  <c r="R408" i="6"/>
  <c r="S408" i="6"/>
  <c r="D66" i="9"/>
  <c r="C335" i="6" s="1"/>
  <c r="C90" i="28"/>
  <c r="AF359" i="6"/>
  <c r="R410" i="6"/>
  <c r="S410" i="6"/>
  <c r="M29" i="17"/>
  <c r="R29" i="17" s="1"/>
  <c r="K380" i="6"/>
  <c r="L380" i="6" s="1"/>
  <c r="M379" i="6" s="1"/>
  <c r="BB359" i="6" s="1"/>
  <c r="U383" i="6"/>
  <c r="C74" i="22"/>
  <c r="O28" i="22"/>
  <c r="I431" i="6"/>
  <c r="R432" i="6"/>
  <c r="S432" i="6"/>
  <c r="R409" i="6"/>
  <c r="S409" i="6"/>
  <c r="AS355" i="6"/>
  <c r="N227" i="6"/>
  <c r="K227" i="6"/>
  <c r="R428" i="6"/>
  <c r="R430" i="6" s="1"/>
  <c r="S428" i="6"/>
  <c r="S430" i="6" s="1"/>
  <c r="T429" i="6" s="1"/>
  <c r="AF357" i="6"/>
  <c r="N229" i="6"/>
  <c r="S435" i="6"/>
  <c r="R435" i="6"/>
  <c r="N233" i="6"/>
  <c r="K233" i="6"/>
  <c r="I23" i="2" s="1"/>
  <c r="Y115" i="3" s="1"/>
  <c r="H400" i="6"/>
  <c r="J400" i="6"/>
  <c r="I400" i="6"/>
  <c r="Q400" i="6"/>
  <c r="I401" i="6"/>
  <c r="H401" i="6"/>
  <c r="Q401" i="6"/>
  <c r="J401" i="6"/>
  <c r="O41" i="17"/>
  <c r="S421" i="6"/>
  <c r="R421" i="6"/>
  <c r="R426" i="6" s="1"/>
  <c r="I419" i="6"/>
  <c r="N228" i="6"/>
  <c r="I386" i="6"/>
  <c r="Q386" i="6"/>
  <c r="H386" i="6"/>
  <c r="H384" i="6" s="1"/>
  <c r="J386" i="6"/>
  <c r="J384" i="6" s="1"/>
  <c r="AF355" i="6"/>
  <c r="AF356" i="6"/>
  <c r="I405" i="6" l="1"/>
  <c r="H405" i="6"/>
  <c r="J405" i="6"/>
  <c r="R397" i="6"/>
  <c r="H356" i="6"/>
  <c r="S358" i="6"/>
  <c r="R358" i="6"/>
  <c r="I356" i="6"/>
  <c r="R411" i="6"/>
  <c r="S411" i="6"/>
  <c r="R359" i="6"/>
  <c r="S359" i="6"/>
  <c r="S412" i="6"/>
  <c r="R412" i="6"/>
  <c r="J356" i="6"/>
  <c r="S397" i="6"/>
  <c r="T393" i="6" s="1"/>
  <c r="Q437" i="6"/>
  <c r="Q431" i="6" s="1"/>
  <c r="BC359" i="6"/>
  <c r="BD359" i="6"/>
  <c r="BD358" i="6"/>
  <c r="BC358" i="6"/>
  <c r="BD357" i="6"/>
  <c r="BC357" i="6"/>
  <c r="Q430" i="6"/>
  <c r="Q419" i="6" s="1"/>
  <c r="H398" i="6"/>
  <c r="J398" i="6"/>
  <c r="T427" i="6"/>
  <c r="U427" i="6" s="1"/>
  <c r="K427" i="6" s="1"/>
  <c r="L427" i="6" s="1"/>
  <c r="AG421" i="6"/>
  <c r="AG419" i="6"/>
  <c r="S386" i="6"/>
  <c r="R386" i="6"/>
  <c r="R391" i="6" s="1"/>
  <c r="I384" i="6"/>
  <c r="Q391" i="6" s="1"/>
  <c r="Q384" i="6" s="1"/>
  <c r="AQ361" i="6"/>
  <c r="E398" i="6"/>
  <c r="AQ362" i="6"/>
  <c r="AU362" i="6" s="1"/>
  <c r="U429" i="6"/>
  <c r="K429" i="6" s="1"/>
  <c r="L429" i="6" s="1"/>
  <c r="I17" i="2"/>
  <c r="L227" i="6"/>
  <c r="R437" i="6"/>
  <c r="AG422" i="6"/>
  <c r="O75" i="3" s="1"/>
  <c r="AC20" i="24" s="1"/>
  <c r="S317" i="6"/>
  <c r="T313" i="6" s="1"/>
  <c r="U313" i="6" s="1"/>
  <c r="K313" i="6" s="1"/>
  <c r="L313" i="6" s="1"/>
  <c r="S426" i="6"/>
  <c r="T421" i="6" s="1"/>
  <c r="S401" i="6"/>
  <c r="R401" i="6"/>
  <c r="X357" i="6"/>
  <c r="J18" i="2"/>
  <c r="S437" i="6"/>
  <c r="T433" i="6" s="1"/>
  <c r="D90" i="28"/>
  <c r="D335" i="6"/>
  <c r="F335" i="6"/>
  <c r="C50" i="6"/>
  <c r="S400" i="6"/>
  <c r="R400" i="6"/>
  <c r="I398" i="6"/>
  <c r="T428" i="6"/>
  <c r="U428" i="6" s="1"/>
  <c r="K428" i="6" s="1"/>
  <c r="L428" i="6" s="1"/>
  <c r="AG418" i="6"/>
  <c r="X359" i="6"/>
  <c r="J20" i="2"/>
  <c r="G54" i="17"/>
  <c r="C53" i="17"/>
  <c r="J19" i="2"/>
  <c r="X358" i="6"/>
  <c r="AF360" i="6" l="1"/>
  <c r="AG358" i="6" s="1"/>
  <c r="Q413" i="6"/>
  <c r="Q405" i="6" s="1"/>
  <c r="S413" i="6"/>
  <c r="T408" i="6" s="1"/>
  <c r="R413" i="6"/>
  <c r="T395" i="6"/>
  <c r="U395" i="6" s="1"/>
  <c r="K395" i="6" s="1"/>
  <c r="L395" i="6" s="1"/>
  <c r="T396" i="6"/>
  <c r="U396" i="6" s="1"/>
  <c r="K396" i="6" s="1"/>
  <c r="L396" i="6" s="1"/>
  <c r="Q364" i="6"/>
  <c r="Q356" i="6" s="1"/>
  <c r="U393" i="6"/>
  <c r="R364" i="6"/>
  <c r="T394" i="6"/>
  <c r="U394" i="6" s="1"/>
  <c r="K394" i="6" s="1"/>
  <c r="L394" i="6" s="1"/>
  <c r="S364" i="6"/>
  <c r="Q402" i="6"/>
  <c r="Q398" i="6" s="1"/>
  <c r="AU361" i="6"/>
  <c r="AT361" i="6"/>
  <c r="U433" i="6"/>
  <c r="S404" i="6"/>
  <c r="T400" i="6" s="1"/>
  <c r="AB110" i="3"/>
  <c r="E22" i="22"/>
  <c r="F22" i="22" s="1"/>
  <c r="G68" i="22"/>
  <c r="I68" i="22" s="1"/>
  <c r="C10" i="23"/>
  <c r="P228" i="6"/>
  <c r="AS356" i="6" s="1"/>
  <c r="S391" i="6"/>
  <c r="T386" i="6" s="1"/>
  <c r="U386" i="6" s="1"/>
  <c r="K386" i="6" s="1"/>
  <c r="L386" i="6" s="1"/>
  <c r="G55" i="17"/>
  <c r="C54" i="17"/>
  <c r="T435" i="6"/>
  <c r="U435" i="6" s="1"/>
  <c r="T422" i="6"/>
  <c r="U422" i="6" s="1"/>
  <c r="K422" i="6" s="1"/>
  <c r="L422" i="6" s="1"/>
  <c r="T424" i="6"/>
  <c r="U424" i="6" s="1"/>
  <c r="K424" i="6" s="1"/>
  <c r="L424" i="6" s="1"/>
  <c r="T425" i="6"/>
  <c r="U425" i="6" s="1"/>
  <c r="K425" i="6" s="1"/>
  <c r="L425" i="6" s="1"/>
  <c r="T423" i="6"/>
  <c r="U423" i="6" s="1"/>
  <c r="K423" i="6" s="1"/>
  <c r="L423" i="6" s="1"/>
  <c r="E356" i="6"/>
  <c r="Y109" i="3"/>
  <c r="AQ355" i="6"/>
  <c r="Q90" i="28"/>
  <c r="G335" i="6"/>
  <c r="T430" i="6"/>
  <c r="T311" i="6"/>
  <c r="T312" i="6"/>
  <c r="U312" i="6" s="1"/>
  <c r="K312" i="6" s="1"/>
  <c r="L312" i="6" s="1"/>
  <c r="T436" i="6"/>
  <c r="U436" i="6" s="1"/>
  <c r="K436" i="6" s="1"/>
  <c r="T434" i="6"/>
  <c r="U434" i="6" s="1"/>
  <c r="AB111" i="3"/>
  <c r="E23" i="22"/>
  <c r="F23" i="22" s="1"/>
  <c r="C13" i="23"/>
  <c r="G69" i="22"/>
  <c r="I69" i="22" s="1"/>
  <c r="Q69" i="22" s="1"/>
  <c r="G70" i="22"/>
  <c r="I70" i="22" s="1"/>
  <c r="AB112" i="3"/>
  <c r="E24" i="22"/>
  <c r="C16" i="23"/>
  <c r="R404" i="6"/>
  <c r="T432" i="6"/>
  <c r="U430" i="6"/>
  <c r="U421" i="6"/>
  <c r="AG356" i="6" l="1"/>
  <c r="AG355" i="6"/>
  <c r="AG359" i="6"/>
  <c r="O68" i="3" s="1"/>
  <c r="AB25" i="23" s="1"/>
  <c r="T411" i="6"/>
  <c r="U411" i="6" s="1"/>
  <c r="K411" i="6" s="1"/>
  <c r="L411" i="6" s="1"/>
  <c r="AG357" i="6"/>
  <c r="O67" i="3" s="1"/>
  <c r="AB24" i="23" s="1"/>
  <c r="U408" i="6"/>
  <c r="K408" i="6" s="1"/>
  <c r="L408" i="6" s="1"/>
  <c r="T412" i="6"/>
  <c r="U412" i="6" s="1"/>
  <c r="K412" i="6" s="1"/>
  <c r="L412" i="6" s="1"/>
  <c r="T406" i="6"/>
  <c r="U406" i="6" s="1"/>
  <c r="T407" i="6"/>
  <c r="U407" i="6" s="1"/>
  <c r="K407" i="6" s="1"/>
  <c r="L407" i="6" s="1"/>
  <c r="T410" i="6"/>
  <c r="U410" i="6" s="1"/>
  <c r="K410" i="6" s="1"/>
  <c r="L410" i="6" s="1"/>
  <c r="T409" i="6"/>
  <c r="U409" i="6" s="1"/>
  <c r="K409" i="6" s="1"/>
  <c r="L409" i="6" s="1"/>
  <c r="U397" i="6"/>
  <c r="K393" i="6"/>
  <c r="L393" i="6" s="1"/>
  <c r="M392" i="6" s="1"/>
  <c r="T362" i="6"/>
  <c r="U362" i="6" s="1"/>
  <c r="K362" i="6" s="1"/>
  <c r="L362" i="6" s="1"/>
  <c r="T359" i="6"/>
  <c r="U359" i="6" s="1"/>
  <c r="K359" i="6" s="1"/>
  <c r="L359" i="6" s="1"/>
  <c r="T360" i="6"/>
  <c r="U360" i="6" s="1"/>
  <c r="K360" i="6" s="1"/>
  <c r="L360" i="6" s="1"/>
  <c r="T363" i="6"/>
  <c r="U363" i="6" s="1"/>
  <c r="K363" i="6" s="1"/>
  <c r="L363" i="6" s="1"/>
  <c r="T361" i="6"/>
  <c r="U361" i="6" s="1"/>
  <c r="K361" i="6" s="1"/>
  <c r="L361" i="6" s="1"/>
  <c r="T357" i="6"/>
  <c r="T358" i="6"/>
  <c r="U358" i="6" s="1"/>
  <c r="K358" i="6" s="1"/>
  <c r="L358" i="6" s="1"/>
  <c r="T397" i="6"/>
  <c r="K434" i="6"/>
  <c r="L434" i="6" s="1"/>
  <c r="K433" i="6"/>
  <c r="L433" i="6" s="1"/>
  <c r="K435" i="6"/>
  <c r="L435" i="6" s="1"/>
  <c r="K228" i="6"/>
  <c r="AU355" i="6"/>
  <c r="AT355" i="6"/>
  <c r="U400" i="6"/>
  <c r="K400" i="6" s="1"/>
  <c r="L400" i="6" s="1"/>
  <c r="K16" i="23"/>
  <c r="M16" i="23"/>
  <c r="G16" i="23"/>
  <c r="E16" i="23"/>
  <c r="L16" i="23"/>
  <c r="D16" i="23"/>
  <c r="I16" i="23"/>
  <c r="H16" i="23"/>
  <c r="J16" i="23"/>
  <c r="F16" i="23"/>
  <c r="Q335" i="6"/>
  <c r="J335" i="6"/>
  <c r="I335" i="6"/>
  <c r="H335" i="6"/>
  <c r="C55" i="17"/>
  <c r="G56" i="17"/>
  <c r="G10" i="23"/>
  <c r="H10" i="23"/>
  <c r="F10" i="23"/>
  <c r="D10" i="23"/>
  <c r="M10" i="23"/>
  <c r="E10" i="23"/>
  <c r="L10" i="23"/>
  <c r="I10" i="23"/>
  <c r="K10" i="23"/>
  <c r="J10" i="23"/>
  <c r="H13" i="23"/>
  <c r="J13" i="23"/>
  <c r="G13" i="23"/>
  <c r="F13" i="23"/>
  <c r="L13" i="23"/>
  <c r="M13" i="23"/>
  <c r="K13" i="23"/>
  <c r="D13" i="23"/>
  <c r="E13" i="23"/>
  <c r="I13" i="23"/>
  <c r="T317" i="6"/>
  <c r="U311" i="6"/>
  <c r="T391" i="6"/>
  <c r="T390" i="6"/>
  <c r="U390" i="6" s="1"/>
  <c r="K390" i="6" s="1"/>
  <c r="L390" i="6" s="1"/>
  <c r="T387" i="6"/>
  <c r="U387" i="6" s="1"/>
  <c r="K387" i="6" s="1"/>
  <c r="L387" i="6" s="1"/>
  <c r="T385" i="6"/>
  <c r="U385" i="6" s="1"/>
  <c r="T388" i="6"/>
  <c r="U388" i="6" s="1"/>
  <c r="K388" i="6" s="1"/>
  <c r="L388" i="6" s="1"/>
  <c r="T389" i="6"/>
  <c r="U389" i="6" s="1"/>
  <c r="K389" i="6" s="1"/>
  <c r="L389" i="6" s="1"/>
  <c r="Q68" i="22"/>
  <c r="T401" i="6"/>
  <c r="U401" i="6" s="1"/>
  <c r="K401" i="6" s="1"/>
  <c r="L401" i="6" s="1"/>
  <c r="T399" i="6"/>
  <c r="U426" i="6"/>
  <c r="K421" i="6"/>
  <c r="L421" i="6" s="1"/>
  <c r="M419" i="6" s="1"/>
  <c r="T437" i="6"/>
  <c r="U432" i="6"/>
  <c r="L436" i="6"/>
  <c r="Q70" i="22"/>
  <c r="T426" i="6"/>
  <c r="T413" i="6" l="1"/>
  <c r="T364" i="6"/>
  <c r="U357" i="6"/>
  <c r="BB361" i="6"/>
  <c r="J22" i="2"/>
  <c r="X361" i="6"/>
  <c r="U437" i="6"/>
  <c r="K432" i="6"/>
  <c r="L432" i="6" s="1"/>
  <c r="M431" i="6" s="1"/>
  <c r="I18" i="2"/>
  <c r="L228" i="6"/>
  <c r="U413" i="6"/>
  <c r="K406" i="6"/>
  <c r="L406" i="6" s="1"/>
  <c r="R335" i="6"/>
  <c r="S335" i="6"/>
  <c r="G57" i="17"/>
  <c r="C56" i="17"/>
  <c r="T404" i="6"/>
  <c r="U399" i="6"/>
  <c r="X419" i="6"/>
  <c r="J26" i="2"/>
  <c r="N419" i="6"/>
  <c r="K26" i="2" s="1"/>
  <c r="K385" i="6"/>
  <c r="L385" i="6" s="1"/>
  <c r="M384" i="6" s="1"/>
  <c r="BB360" i="6" s="1"/>
  <c r="U391" i="6"/>
  <c r="K311" i="6"/>
  <c r="L311" i="6" s="1"/>
  <c r="U317" i="6"/>
  <c r="BD361" i="6" l="1"/>
  <c r="BC361" i="6"/>
  <c r="E28" i="22"/>
  <c r="F28" i="22" s="1"/>
  <c r="G72" i="22"/>
  <c r="I72" i="22" s="1"/>
  <c r="Q72" i="22" s="1"/>
  <c r="C22" i="23"/>
  <c r="AB114" i="3"/>
  <c r="U364" i="6"/>
  <c r="K357" i="6"/>
  <c r="L357" i="6" s="1"/>
  <c r="M357" i="6" s="1"/>
  <c r="M356" i="6" s="1"/>
  <c r="BB356" i="6" s="1"/>
  <c r="BD360" i="6"/>
  <c r="BC360" i="6"/>
  <c r="Q229" i="6"/>
  <c r="P229" i="6"/>
  <c r="AS361" i="6" s="1"/>
  <c r="AQ356" i="6"/>
  <c r="E365" i="6"/>
  <c r="N365" i="6" s="1"/>
  <c r="K18" i="2" s="1"/>
  <c r="Y110" i="3"/>
  <c r="X420" i="6"/>
  <c r="N431" i="6"/>
  <c r="E437" i="6" s="1"/>
  <c r="L25" i="2" s="1"/>
  <c r="J27" i="2"/>
  <c r="E33" i="22" s="1"/>
  <c r="F33" i="22" s="1"/>
  <c r="AB118" i="3"/>
  <c r="E32" i="22"/>
  <c r="C10" i="24"/>
  <c r="G76" i="22"/>
  <c r="I76" i="22" s="1"/>
  <c r="G58" i="17"/>
  <c r="C57" i="17"/>
  <c r="N27" i="17" s="1"/>
  <c r="S27" i="17" s="1"/>
  <c r="K399" i="6"/>
  <c r="L399" i="6" s="1"/>
  <c r="M398" i="6" s="1"/>
  <c r="BB362" i="6" s="1"/>
  <c r="U404" i="6"/>
  <c r="J21" i="2"/>
  <c r="X360" i="6"/>
  <c r="AU356" i="6" l="1"/>
  <c r="AT356" i="6"/>
  <c r="X356" i="6"/>
  <c r="J17" i="2"/>
  <c r="C7" i="23" s="1"/>
  <c r="J7" i="23" s="1"/>
  <c r="M22" i="23"/>
  <c r="G22" i="23"/>
  <c r="D22" i="23"/>
  <c r="J22" i="23"/>
  <c r="F22" i="23"/>
  <c r="I22" i="23"/>
  <c r="H22" i="23"/>
  <c r="E22" i="23"/>
  <c r="K22" i="23"/>
  <c r="L22" i="23"/>
  <c r="N356" i="6"/>
  <c r="K17" i="2" s="1"/>
  <c r="K27" i="2"/>
  <c r="AC117" i="3" s="1"/>
  <c r="BD362" i="6"/>
  <c r="BC362" i="6"/>
  <c r="BC356" i="6"/>
  <c r="BD356" i="6"/>
  <c r="AS357" i="6"/>
  <c r="AS359" i="6"/>
  <c r="AS358" i="6"/>
  <c r="K229" i="6"/>
  <c r="AS360" i="6"/>
  <c r="C13" i="24"/>
  <c r="J12" i="24" s="1"/>
  <c r="AB119" i="3"/>
  <c r="G77" i="22"/>
  <c r="I77" i="22" s="1"/>
  <c r="V75" i="22" s="1"/>
  <c r="N155" i="22" s="1"/>
  <c r="X362" i="6"/>
  <c r="J23" i="2"/>
  <c r="C25" i="23"/>
  <c r="N398" i="6"/>
  <c r="K23" i="2" s="1"/>
  <c r="C58" i="17"/>
  <c r="S46" i="17" s="1"/>
  <c r="G59" i="17"/>
  <c r="Q76" i="22"/>
  <c r="G71" i="22"/>
  <c r="I71" i="22" s="1"/>
  <c r="E26" i="22"/>
  <c r="F26" i="22" s="1"/>
  <c r="C19" i="23"/>
  <c r="AB113" i="3"/>
  <c r="I9" i="24"/>
  <c r="F9" i="24"/>
  <c r="G9" i="24"/>
  <c r="M9" i="24"/>
  <c r="K9" i="24"/>
  <c r="E9" i="24"/>
  <c r="H9" i="24"/>
  <c r="D9" i="24"/>
  <c r="N9" i="24"/>
  <c r="J9" i="24"/>
  <c r="L9" i="24"/>
  <c r="E29" i="22"/>
  <c r="H75" i="22" s="1"/>
  <c r="F437" i="6"/>
  <c r="S16" i="24"/>
  <c r="AB418" i="6"/>
  <c r="D201" i="6"/>
  <c r="K76" i="3"/>
  <c r="F32" i="22"/>
  <c r="G29" i="22"/>
  <c r="G150" i="22" s="1"/>
  <c r="E21" i="22" l="1"/>
  <c r="F21" i="22" s="1"/>
  <c r="AB109" i="3"/>
  <c r="C7" i="24"/>
  <c r="G67" i="22"/>
  <c r="I67" i="22" s="1"/>
  <c r="Q67" i="22" s="1"/>
  <c r="D7" i="23"/>
  <c r="H7" i="23"/>
  <c r="M7" i="23"/>
  <c r="G7" i="23"/>
  <c r="K7" i="23"/>
  <c r="I7" i="23"/>
  <c r="E7" i="23"/>
  <c r="L7" i="23"/>
  <c r="F7" i="23"/>
  <c r="N7" i="23"/>
  <c r="I19" i="2"/>
  <c r="L229" i="6"/>
  <c r="H12" i="24"/>
  <c r="K12" i="24"/>
  <c r="E12" i="24"/>
  <c r="N12" i="24"/>
  <c r="F12" i="24"/>
  <c r="G12" i="24"/>
  <c r="D12" i="24"/>
  <c r="L12" i="24"/>
  <c r="I12" i="24"/>
  <c r="M12" i="24"/>
  <c r="Q77" i="22"/>
  <c r="L75" i="22"/>
  <c r="G19" i="22"/>
  <c r="G141" i="22" s="1"/>
  <c r="J75" i="22"/>
  <c r="BO1" i="24"/>
  <c r="AB420" i="6"/>
  <c r="BO3" i="24" s="1"/>
  <c r="M19" i="23"/>
  <c r="G19" i="23"/>
  <c r="K19" i="23"/>
  <c r="J19" i="23"/>
  <c r="H19" i="23"/>
  <c r="D19" i="23"/>
  <c r="E19" i="23"/>
  <c r="F19" i="23"/>
  <c r="I19" i="23"/>
  <c r="L19" i="23"/>
  <c r="C59" i="17"/>
  <c r="G60" i="17"/>
  <c r="N28" i="17"/>
  <c r="S28" i="17" s="1"/>
  <c r="T45" i="17"/>
  <c r="W45" i="17" s="1"/>
  <c r="K25" i="23"/>
  <c r="I25" i="23"/>
  <c r="D25" i="23"/>
  <c r="M25" i="23"/>
  <c r="H25" i="23"/>
  <c r="L25" i="23"/>
  <c r="F25" i="23"/>
  <c r="J25" i="23"/>
  <c r="G25" i="23"/>
  <c r="E25" i="23"/>
  <c r="G201" i="6"/>
  <c r="H29" i="22" s="1"/>
  <c r="F201" i="6"/>
  <c r="F73" i="3"/>
  <c r="I73" i="3"/>
  <c r="E73" i="3"/>
  <c r="H73" i="3"/>
  <c r="K73" i="3"/>
  <c r="J73" i="3"/>
  <c r="L73" i="3"/>
  <c r="M73" i="3"/>
  <c r="C73" i="3"/>
  <c r="D73" i="3"/>
  <c r="G73" i="3"/>
  <c r="C76" i="3"/>
  <c r="O16" i="24"/>
  <c r="Q71" i="22"/>
  <c r="Y155" i="22"/>
  <c r="V155" i="22"/>
  <c r="W155" i="22"/>
  <c r="U155" i="22"/>
  <c r="Z155" i="22"/>
  <c r="X155" i="22"/>
  <c r="Q155" i="22"/>
  <c r="T155" i="22"/>
  <c r="S155" i="22"/>
  <c r="F150" i="22"/>
  <c r="R155" i="22"/>
  <c r="G73" i="22"/>
  <c r="I73" i="22" s="1"/>
  <c r="AB115" i="3"/>
  <c r="P230" i="6" l="1"/>
  <c r="K230" i="6" s="1"/>
  <c r="I20" i="2" s="1"/>
  <c r="E371" i="6"/>
  <c r="N371" i="6" s="1"/>
  <c r="K19" i="2" s="1"/>
  <c r="AQ357" i="6"/>
  <c r="Y111" i="3"/>
  <c r="N75" i="22"/>
  <c r="Q73" i="22"/>
  <c r="C67" i="9"/>
  <c r="W46" i="17"/>
  <c r="H150" i="22"/>
  <c r="J30" i="22"/>
  <c r="G61" i="17"/>
  <c r="C60" i="17"/>
  <c r="N29" i="17"/>
  <c r="S29" i="17" s="1"/>
  <c r="AU357" i="6" l="1"/>
  <c r="AT357" i="6"/>
  <c r="L230" i="6"/>
  <c r="Y112" i="3"/>
  <c r="AQ358" i="6"/>
  <c r="E379" i="6"/>
  <c r="N379" i="6" s="1"/>
  <c r="K20" i="2" s="1"/>
  <c r="C68" i="9"/>
  <c r="N150" i="22"/>
  <c r="D67" i="9"/>
  <c r="C336" i="6" s="1"/>
  <c r="C91" i="28"/>
  <c r="G62" i="17"/>
  <c r="C61" i="17"/>
  <c r="AU358" i="6" l="1"/>
  <c r="AT358" i="6"/>
  <c r="P231" i="6"/>
  <c r="K231" i="6" s="1"/>
  <c r="I21" i="2" s="1"/>
  <c r="G63" i="17"/>
  <c r="C62" i="17"/>
  <c r="W154" i="22"/>
  <c r="W150" i="22" s="1"/>
  <c r="Y154" i="22"/>
  <c r="Y150" i="22" s="1"/>
  <c r="X150" i="22"/>
  <c r="R154" i="22"/>
  <c r="R150" i="22" s="1"/>
  <c r="X154" i="22"/>
  <c r="S154" i="22"/>
  <c r="S150" i="22" s="1"/>
  <c r="D91" i="28"/>
  <c r="D336" i="6"/>
  <c r="C51" i="6"/>
  <c r="F336" i="6"/>
  <c r="C92" i="28"/>
  <c r="L231" i="6" l="1"/>
  <c r="E384" i="6"/>
  <c r="N384" i="6" s="1"/>
  <c r="K21" i="2" s="1"/>
  <c r="Y113" i="3"/>
  <c r="AQ359" i="6"/>
  <c r="G336" i="6"/>
  <c r="Q91" i="28"/>
  <c r="C63" i="17"/>
  <c r="G64" i="17"/>
  <c r="AT359" i="6" l="1"/>
  <c r="AU359" i="6"/>
  <c r="P232" i="6"/>
  <c r="K232" i="6" s="1"/>
  <c r="I22" i="2" s="1"/>
  <c r="G65" i="17"/>
  <c r="C64" i="17"/>
  <c r="Q336" i="6"/>
  <c r="I336" i="6"/>
  <c r="J336" i="6"/>
  <c r="H336" i="6"/>
  <c r="L232" i="6" l="1"/>
  <c r="Y114" i="3"/>
  <c r="E392" i="6"/>
  <c r="N392" i="6" s="1"/>
  <c r="K22" i="2" s="1"/>
  <c r="AQ360" i="6"/>
  <c r="C65" i="17"/>
  <c r="G66" i="17"/>
  <c r="C66" i="17" s="1"/>
  <c r="S336" i="6"/>
  <c r="R336" i="6"/>
  <c r="AU360" i="6" l="1"/>
  <c r="AU365" i="6" s="1"/>
  <c r="AV358" i="6" s="1"/>
  <c r="AT360" i="6"/>
  <c r="AT365" i="6" s="1"/>
  <c r="P233" i="6"/>
  <c r="AS362" i="6" s="1"/>
  <c r="L233" i="6"/>
  <c r="D38" i="9"/>
  <c r="H66" i="17"/>
  <c r="P31" i="17"/>
  <c r="H65" i="17"/>
  <c r="D40" i="9" s="1"/>
  <c r="C308" i="6" s="1"/>
  <c r="P30" i="17"/>
  <c r="D68" i="9"/>
  <c r="C337" i="6" s="1"/>
  <c r="D36" i="9" l="1"/>
  <c r="D39" i="9"/>
  <c r="D67" i="28" s="1"/>
  <c r="D54" i="9"/>
  <c r="B54" i="9" s="1"/>
  <c r="L31" i="17"/>
  <c r="L33" i="17" s="1"/>
  <c r="M31" i="17"/>
  <c r="M33" i="17" s="1"/>
  <c r="N31" i="17"/>
  <c r="N33" i="17" s="1"/>
  <c r="L30" i="17"/>
  <c r="M30" i="17"/>
  <c r="N30" i="17"/>
  <c r="AW358" i="6"/>
  <c r="AV361" i="6"/>
  <c r="AW361" i="6" s="1"/>
  <c r="AV357" i="6"/>
  <c r="AW357" i="6" s="1"/>
  <c r="AX358" i="6" s="1"/>
  <c r="AV362" i="6"/>
  <c r="AW362" i="6" s="1"/>
  <c r="AX362" i="6" s="1"/>
  <c r="AV359" i="6"/>
  <c r="AW359" i="6" s="1"/>
  <c r="AV356" i="6"/>
  <c r="AW356" i="6" s="1"/>
  <c r="AX356" i="6" s="1"/>
  <c r="AV355" i="6"/>
  <c r="AW355" i="6" s="1"/>
  <c r="AX355" i="6" s="1"/>
  <c r="AV360" i="6"/>
  <c r="AW360" i="6" s="1"/>
  <c r="P234" i="6"/>
  <c r="F308" i="6"/>
  <c r="G308" i="6" s="1"/>
  <c r="C31" i="6"/>
  <c r="D308" i="6"/>
  <c r="C306" i="6"/>
  <c r="D66" i="28"/>
  <c r="C52" i="6"/>
  <c r="D337" i="6"/>
  <c r="F337" i="6"/>
  <c r="D92" i="28"/>
  <c r="B93" i="28" s="1"/>
  <c r="B94" i="28" s="1"/>
  <c r="B95" i="28" s="1"/>
  <c r="B96" i="28" s="1"/>
  <c r="R30" i="17"/>
  <c r="Q30" i="17"/>
  <c r="S30" i="17"/>
  <c r="Q31" i="17"/>
  <c r="S31" i="17"/>
  <c r="R31" i="17"/>
  <c r="D78" i="9"/>
  <c r="D32" i="12"/>
  <c r="E42" i="11"/>
  <c r="D39" i="12"/>
  <c r="D45" i="12"/>
  <c r="D33" i="12"/>
  <c r="D44" i="12"/>
  <c r="D37" i="12"/>
  <c r="D77" i="9"/>
  <c r="D36" i="12"/>
  <c r="D80" i="9"/>
  <c r="D46" i="12"/>
  <c r="E34" i="11"/>
  <c r="E41" i="11"/>
  <c r="D43" i="12"/>
  <c r="D31" i="12"/>
  <c r="D48" i="9"/>
  <c r="D40" i="12"/>
  <c r="E36" i="11"/>
  <c r="D56" i="9"/>
  <c r="D30" i="12"/>
  <c r="E35" i="11"/>
  <c r="D47" i="9"/>
  <c r="D79" i="9"/>
  <c r="E37" i="11"/>
  <c r="E40" i="11"/>
  <c r="D38" i="12"/>
  <c r="D47" i="12"/>
  <c r="D46" i="9"/>
  <c r="E43" i="11"/>
  <c r="C304" i="6" l="1"/>
  <c r="D64" i="28"/>
  <c r="B36" i="9"/>
  <c r="C307" i="6"/>
  <c r="C30" i="6" s="1"/>
  <c r="L32" i="17"/>
  <c r="O42" i="17"/>
  <c r="O43" i="17" s="1"/>
  <c r="L34" i="17"/>
  <c r="D79" i="28"/>
  <c r="C55" i="9"/>
  <c r="C57" i="9" s="1"/>
  <c r="N32" i="17"/>
  <c r="N34" i="17"/>
  <c r="K234" i="6"/>
  <c r="I24" i="2" s="1"/>
  <c r="Y116" i="3" s="1"/>
  <c r="C322" i="6"/>
  <c r="F322" i="6" s="1"/>
  <c r="M34" i="17"/>
  <c r="M32" i="17"/>
  <c r="AX359" i="6"/>
  <c r="AX360" i="6"/>
  <c r="AX361" i="6"/>
  <c r="AX357" i="6"/>
  <c r="B55" i="9"/>
  <c r="B322" i="6"/>
  <c r="B79" i="28"/>
  <c r="H308" i="6"/>
  <c r="J308" i="6"/>
  <c r="I308" i="6"/>
  <c r="Q308" i="6"/>
  <c r="C29" i="6"/>
  <c r="D306" i="6"/>
  <c r="F306" i="6"/>
  <c r="G306" i="6" s="1"/>
  <c r="C448" i="6"/>
  <c r="D178" i="28"/>
  <c r="C454" i="6"/>
  <c r="D183" i="28"/>
  <c r="C447" i="6"/>
  <c r="D177" i="28"/>
  <c r="AA35" i="12"/>
  <c r="Q192" i="28" s="1"/>
  <c r="C486" i="6"/>
  <c r="D193" i="28"/>
  <c r="C482" i="6"/>
  <c r="D190" i="28"/>
  <c r="Q92" i="28"/>
  <c r="G337" i="6"/>
  <c r="C452" i="6"/>
  <c r="AB39" i="11"/>
  <c r="Q180" i="28" s="1"/>
  <c r="D181" i="28"/>
  <c r="D199" i="28"/>
  <c r="AA42" i="12"/>
  <c r="Q198" i="28" s="1"/>
  <c r="C493" i="6"/>
  <c r="C349" i="6"/>
  <c r="D104" i="28"/>
  <c r="C449" i="6"/>
  <c r="D179" i="28"/>
  <c r="C453" i="6"/>
  <c r="D182" i="28"/>
  <c r="C483" i="6"/>
  <c r="D191" i="28"/>
  <c r="D203" i="28"/>
  <c r="C497" i="6"/>
  <c r="D103" i="28"/>
  <c r="C348" i="6"/>
  <c r="D188" i="28"/>
  <c r="C480" i="6"/>
  <c r="AA29" i="12"/>
  <c r="Q187" i="28" s="1"/>
  <c r="C316" i="6"/>
  <c r="D74" i="28"/>
  <c r="C446" i="6"/>
  <c r="D176" i="28"/>
  <c r="AB33" i="11"/>
  <c r="Q175" i="28" s="1"/>
  <c r="AB75" i="9"/>
  <c r="Q99" i="28" s="1"/>
  <c r="C346" i="6"/>
  <c r="D101" i="28"/>
  <c r="D201" i="28"/>
  <c r="C495" i="6"/>
  <c r="D102" i="28"/>
  <c r="C347" i="6"/>
  <c r="C455" i="6"/>
  <c r="D184" i="28"/>
  <c r="C494" i="6"/>
  <c r="D200" i="28"/>
  <c r="C314" i="6"/>
  <c r="D72" i="28"/>
  <c r="C490" i="6"/>
  <c r="D197" i="28"/>
  <c r="D195" i="28"/>
  <c r="C488" i="6"/>
  <c r="C315" i="6"/>
  <c r="D73" i="28"/>
  <c r="C324" i="6"/>
  <c r="D81" i="28"/>
  <c r="C481" i="6"/>
  <c r="D189" i="28"/>
  <c r="C496" i="6"/>
  <c r="D202" i="28"/>
  <c r="D194" i="28"/>
  <c r="C487" i="6"/>
  <c r="C489" i="6"/>
  <c r="D196" i="28"/>
  <c r="F307" i="6" l="1"/>
  <c r="G307" i="6" s="1"/>
  <c r="B37" i="9"/>
  <c r="B40" i="9"/>
  <c r="B308" i="6" s="1"/>
  <c r="B39" i="9"/>
  <c r="B304" i="6"/>
  <c r="B64" i="28"/>
  <c r="B38" i="9"/>
  <c r="F304" i="6"/>
  <c r="G304" i="6" s="1"/>
  <c r="D304" i="6"/>
  <c r="C27" i="6"/>
  <c r="D307" i="6"/>
  <c r="C41" i="6"/>
  <c r="D322" i="6"/>
  <c r="C79" i="28"/>
  <c r="D55" i="9"/>
  <c r="D80" i="28" s="1"/>
  <c r="E405" i="6"/>
  <c r="I25" i="2"/>
  <c r="L234" i="6"/>
  <c r="D301" i="6"/>
  <c r="G322" i="6"/>
  <c r="BB14" i="9"/>
  <c r="Q306" i="6"/>
  <c r="J306" i="6"/>
  <c r="H306" i="6"/>
  <c r="I306" i="6"/>
  <c r="R308" i="6"/>
  <c r="S308" i="6"/>
  <c r="C81" i="28"/>
  <c r="D57" i="9"/>
  <c r="B56" i="9"/>
  <c r="B323" i="6"/>
  <c r="B80" i="28"/>
  <c r="D488" i="6"/>
  <c r="C136" i="6"/>
  <c r="F446" i="6"/>
  <c r="G446" i="6" s="1"/>
  <c r="C121" i="6"/>
  <c r="D446" i="6"/>
  <c r="D497" i="6"/>
  <c r="C143" i="6"/>
  <c r="F349" i="6"/>
  <c r="G349" i="6" s="1"/>
  <c r="C62" i="6"/>
  <c r="D349" i="6"/>
  <c r="D489" i="6"/>
  <c r="C137" i="6"/>
  <c r="C142" i="6"/>
  <c r="D496" i="6"/>
  <c r="F324" i="6"/>
  <c r="G324" i="6" s="1"/>
  <c r="D324" i="6"/>
  <c r="C43" i="6"/>
  <c r="F314" i="6"/>
  <c r="C35" i="6"/>
  <c r="D314" i="6"/>
  <c r="D495" i="6"/>
  <c r="C141" i="6"/>
  <c r="F453" i="6"/>
  <c r="G453" i="6" s="1"/>
  <c r="D453" i="6"/>
  <c r="C126" i="6"/>
  <c r="D493" i="6"/>
  <c r="C139" i="6"/>
  <c r="F454" i="6"/>
  <c r="G454" i="6" s="1"/>
  <c r="D454" i="6"/>
  <c r="C127" i="6"/>
  <c r="D346" i="6"/>
  <c r="C59" i="6"/>
  <c r="F346" i="6"/>
  <c r="G346" i="6" s="1"/>
  <c r="D486" i="6"/>
  <c r="C134" i="6"/>
  <c r="D487" i="6"/>
  <c r="C135" i="6"/>
  <c r="F316" i="6"/>
  <c r="G316" i="6" s="1"/>
  <c r="C37" i="6"/>
  <c r="D316" i="6"/>
  <c r="F348" i="6"/>
  <c r="G348" i="6" s="1"/>
  <c r="C61" i="6"/>
  <c r="D348" i="6"/>
  <c r="F452" i="6"/>
  <c r="G452" i="6" s="1"/>
  <c r="C125" i="6"/>
  <c r="D452" i="6"/>
  <c r="C132" i="6"/>
  <c r="D482" i="6"/>
  <c r="D480" i="6"/>
  <c r="C130" i="6"/>
  <c r="D481" i="6"/>
  <c r="C131" i="6"/>
  <c r="F315" i="6"/>
  <c r="G315" i="6" s="1"/>
  <c r="C36" i="6"/>
  <c r="D315" i="6"/>
  <c r="D490" i="6"/>
  <c r="C138" i="6"/>
  <c r="D494" i="6"/>
  <c r="C140" i="6"/>
  <c r="F455" i="6"/>
  <c r="G455" i="6" s="1"/>
  <c r="D455" i="6"/>
  <c r="C128" i="6"/>
  <c r="F347" i="6"/>
  <c r="G347" i="6" s="1"/>
  <c r="D347" i="6"/>
  <c r="C60" i="6"/>
  <c r="D483" i="6"/>
  <c r="C133" i="6"/>
  <c r="F449" i="6"/>
  <c r="G449" i="6" s="1"/>
  <c r="C124" i="6"/>
  <c r="D449" i="6"/>
  <c r="H337" i="6"/>
  <c r="I337" i="6"/>
  <c r="Q337" i="6"/>
  <c r="J337" i="6"/>
  <c r="F447" i="6"/>
  <c r="G447" i="6" s="1"/>
  <c r="D447" i="6"/>
  <c r="C122" i="6"/>
  <c r="F448" i="6"/>
  <c r="G448" i="6" s="1"/>
  <c r="D448" i="6"/>
  <c r="C123" i="6"/>
  <c r="Q304" i="6" l="1"/>
  <c r="H304" i="6"/>
  <c r="J304" i="6"/>
  <c r="I304" i="6"/>
  <c r="F255" i="6"/>
  <c r="B67" i="28"/>
  <c r="B307" i="6"/>
  <c r="BB1" i="9"/>
  <c r="B306" i="6"/>
  <c r="B66" i="28"/>
  <c r="B305" i="6"/>
  <c r="B65" i="28"/>
  <c r="C323" i="6"/>
  <c r="C42" i="6" s="1"/>
  <c r="D310" i="6"/>
  <c r="B81" i="28"/>
  <c r="B57" i="9"/>
  <c r="B324" i="6"/>
  <c r="Q322" i="6"/>
  <c r="J322" i="6"/>
  <c r="I322" i="6"/>
  <c r="H322" i="6"/>
  <c r="Q307" i="6"/>
  <c r="I307" i="6"/>
  <c r="H307" i="6"/>
  <c r="H301" i="6" s="1"/>
  <c r="J307" i="6"/>
  <c r="F256" i="6"/>
  <c r="C325" i="6"/>
  <c r="D82" i="28"/>
  <c r="R306" i="6"/>
  <c r="S306" i="6"/>
  <c r="D479" i="6"/>
  <c r="D451" i="6"/>
  <c r="I449" i="6"/>
  <c r="H449" i="6"/>
  <c r="J449" i="6"/>
  <c r="Q449" i="6"/>
  <c r="J316" i="6"/>
  <c r="Q316" i="6"/>
  <c r="H316" i="6"/>
  <c r="I316" i="6"/>
  <c r="J315" i="6"/>
  <c r="I315" i="6"/>
  <c r="H315" i="6"/>
  <c r="Q315" i="6"/>
  <c r="H348" i="6"/>
  <c r="Q348" i="6"/>
  <c r="J348" i="6"/>
  <c r="I348" i="6"/>
  <c r="I346" i="6"/>
  <c r="H346" i="6"/>
  <c r="J346" i="6"/>
  <c r="Q346" i="6"/>
  <c r="D492" i="6"/>
  <c r="H324" i="6"/>
  <c r="I324" i="6"/>
  <c r="Q324" i="6"/>
  <c r="J324" i="6"/>
  <c r="F259" i="6"/>
  <c r="Q446" i="6"/>
  <c r="AF445" i="6"/>
  <c r="J446" i="6"/>
  <c r="AF446" i="6"/>
  <c r="AF442" i="6"/>
  <c r="AG442" i="6" s="1"/>
  <c r="AF444" i="6"/>
  <c r="H446" i="6"/>
  <c r="AF443" i="6"/>
  <c r="AG443" i="6" s="1"/>
  <c r="I446" i="6"/>
  <c r="H455" i="6"/>
  <c r="J455" i="6"/>
  <c r="Q455" i="6"/>
  <c r="I455" i="6"/>
  <c r="H349" i="6"/>
  <c r="J349" i="6"/>
  <c r="I349" i="6"/>
  <c r="Q349" i="6"/>
  <c r="F263" i="6"/>
  <c r="Q447" i="6"/>
  <c r="H447" i="6"/>
  <c r="I447" i="6"/>
  <c r="J447" i="6"/>
  <c r="Q448" i="6"/>
  <c r="J448" i="6"/>
  <c r="H448" i="6"/>
  <c r="I448" i="6"/>
  <c r="J452" i="6"/>
  <c r="I452" i="6"/>
  <c r="H452" i="6"/>
  <c r="Q452" i="6"/>
  <c r="Q454" i="6"/>
  <c r="H454" i="6"/>
  <c r="F260" i="6"/>
  <c r="J454" i="6"/>
  <c r="I454" i="6"/>
  <c r="I453" i="6"/>
  <c r="H453" i="6"/>
  <c r="J453" i="6"/>
  <c r="Q453" i="6"/>
  <c r="G314" i="6"/>
  <c r="S337" i="6"/>
  <c r="R337" i="6"/>
  <c r="D485" i="6"/>
  <c r="H347" i="6"/>
  <c r="I347" i="6"/>
  <c r="Q347" i="6"/>
  <c r="J347" i="6"/>
  <c r="D344" i="6"/>
  <c r="D445" i="6"/>
  <c r="J301" i="6" l="1"/>
  <c r="I301" i="6"/>
  <c r="Q309" i="6" s="1"/>
  <c r="Q301" i="6" s="1"/>
  <c r="S304" i="6"/>
  <c r="R304" i="6"/>
  <c r="G255" i="6"/>
  <c r="I255" i="6" s="1"/>
  <c r="W251" i="6" s="1"/>
  <c r="T23" i="28"/>
  <c r="K255" i="6"/>
  <c r="J255" i="6"/>
  <c r="D323" i="6"/>
  <c r="F323" i="6"/>
  <c r="G323" i="6" s="1"/>
  <c r="H323" i="6" s="1"/>
  <c r="S322" i="6"/>
  <c r="R322" i="6"/>
  <c r="D325" i="6"/>
  <c r="F325" i="6"/>
  <c r="C44" i="6"/>
  <c r="S307" i="6"/>
  <c r="R307" i="6"/>
  <c r="B82" i="28"/>
  <c r="B325" i="6"/>
  <c r="K256" i="6"/>
  <c r="G256" i="6"/>
  <c r="I256" i="6" s="1"/>
  <c r="X251" i="6" s="1"/>
  <c r="J256" i="6"/>
  <c r="T24" i="28"/>
  <c r="J451" i="6"/>
  <c r="J344" i="6"/>
  <c r="Q314" i="6"/>
  <c r="J314" i="6"/>
  <c r="I314" i="6"/>
  <c r="H314" i="6"/>
  <c r="H310" i="6" s="1"/>
  <c r="S453" i="6"/>
  <c r="R453" i="6"/>
  <c r="S452" i="6"/>
  <c r="R452" i="6"/>
  <c r="I451" i="6"/>
  <c r="S454" i="6"/>
  <c r="R454" i="6"/>
  <c r="S349" i="6"/>
  <c r="R349" i="6"/>
  <c r="K259" i="6"/>
  <c r="G259" i="6"/>
  <c r="J259" i="6"/>
  <c r="T27" i="28"/>
  <c r="K266" i="6"/>
  <c r="K267" i="6" s="1"/>
  <c r="V26" i="3" s="1"/>
  <c r="J266" i="6"/>
  <c r="J267" i="6" s="1"/>
  <c r="V25" i="3" s="1"/>
  <c r="H344" i="6"/>
  <c r="R315" i="6"/>
  <c r="S315" i="6"/>
  <c r="I445" i="6"/>
  <c r="S446" i="6"/>
  <c r="R446" i="6"/>
  <c r="R316" i="6"/>
  <c r="S316" i="6"/>
  <c r="T316" i="6" s="1"/>
  <c r="U316" i="6" s="1"/>
  <c r="K316" i="6" s="1"/>
  <c r="L316" i="6" s="1"/>
  <c r="H445" i="6"/>
  <c r="J445" i="6"/>
  <c r="R346" i="6"/>
  <c r="I344" i="6"/>
  <c r="S346" i="6"/>
  <c r="R447" i="6"/>
  <c r="S447" i="6"/>
  <c r="S455" i="6"/>
  <c r="R455" i="6"/>
  <c r="R324" i="6"/>
  <c r="S324" i="6"/>
  <c r="S347" i="6"/>
  <c r="R347" i="6"/>
  <c r="G260" i="6"/>
  <c r="K260" i="6"/>
  <c r="S268" i="6" s="1"/>
  <c r="T28" i="28"/>
  <c r="J260" i="6"/>
  <c r="H451" i="6"/>
  <c r="AF447" i="6" s="1"/>
  <c r="AG444" i="6" s="1"/>
  <c r="R448" i="6"/>
  <c r="S448" i="6"/>
  <c r="J263" i="6"/>
  <c r="T31" i="28"/>
  <c r="G263" i="6"/>
  <c r="I263" i="6" s="1"/>
  <c r="W254" i="6" s="1"/>
  <c r="Z254" i="6" s="1"/>
  <c r="AA254" i="6" s="1"/>
  <c r="K263" i="6"/>
  <c r="S348" i="6"/>
  <c r="R348" i="6"/>
  <c r="S449" i="6"/>
  <c r="R449" i="6"/>
  <c r="R309" i="6" l="1"/>
  <c r="S309" i="6"/>
  <c r="T305" i="6" s="1"/>
  <c r="U305" i="6" s="1"/>
  <c r="K305" i="6" s="1"/>
  <c r="L305" i="6" s="1"/>
  <c r="Z251" i="6"/>
  <c r="AA251" i="6" s="1"/>
  <c r="L255" i="6"/>
  <c r="D318" i="6"/>
  <c r="Q323" i="6"/>
  <c r="I323" i="6"/>
  <c r="R323" i="6" s="1"/>
  <c r="J323" i="6"/>
  <c r="J318" i="6" s="1"/>
  <c r="T302" i="6"/>
  <c r="T306" i="6"/>
  <c r="U306" i="6" s="1"/>
  <c r="K306" i="6" s="1"/>
  <c r="L306" i="6" s="1"/>
  <c r="L256" i="6"/>
  <c r="G325" i="6"/>
  <c r="AG446" i="6"/>
  <c r="O82" i="3" s="1"/>
  <c r="AC18" i="11" s="1"/>
  <c r="P268" i="6"/>
  <c r="AC26" i="9" s="1"/>
  <c r="AG445" i="6"/>
  <c r="Q350" i="6"/>
  <c r="Q344" i="6" s="1"/>
  <c r="O81" i="3"/>
  <c r="AC17" i="11" s="1"/>
  <c r="R456" i="6"/>
  <c r="L260" i="6"/>
  <c r="R350" i="6"/>
  <c r="S456" i="6"/>
  <c r="T454" i="6" s="1"/>
  <c r="I260" i="6"/>
  <c r="P19" i="11"/>
  <c r="R450" i="6"/>
  <c r="L259" i="6"/>
  <c r="L263" i="6"/>
  <c r="AC21" i="11"/>
  <c r="S350" i="6"/>
  <c r="T348" i="6" s="1"/>
  <c r="Q450" i="6"/>
  <c r="Q445" i="6" s="1"/>
  <c r="S450" i="6"/>
  <c r="T446" i="6" s="1"/>
  <c r="T315" i="6"/>
  <c r="U315" i="6" s="1"/>
  <c r="K315" i="6" s="1"/>
  <c r="L315" i="6" s="1"/>
  <c r="I259" i="6"/>
  <c r="D267" i="6"/>
  <c r="N24" i="9"/>
  <c r="Q456" i="6"/>
  <c r="Q451" i="6" s="1"/>
  <c r="S314" i="6"/>
  <c r="T314" i="6" s="1"/>
  <c r="U314" i="6" s="1"/>
  <c r="K314" i="6" s="1"/>
  <c r="L314" i="6" s="1"/>
  <c r="R314" i="6"/>
  <c r="I310" i="6"/>
  <c r="Q317" i="6" s="1"/>
  <c r="Q310" i="6" s="1"/>
  <c r="T304" i="6" l="1"/>
  <c r="U304" i="6" s="1"/>
  <c r="K304" i="6" s="1"/>
  <c r="L304" i="6" s="1"/>
  <c r="T303" i="6"/>
  <c r="U303" i="6" s="1"/>
  <c r="K303" i="6" s="1"/>
  <c r="L303" i="6" s="1"/>
  <c r="T308" i="6"/>
  <c r="U308" i="6" s="1"/>
  <c r="K308" i="6" s="1"/>
  <c r="L308" i="6" s="1"/>
  <c r="T307" i="6"/>
  <c r="U307" i="6" s="1"/>
  <c r="K307" i="6" s="1"/>
  <c r="L307" i="6" s="1"/>
  <c r="S323" i="6"/>
  <c r="M311" i="6"/>
  <c r="W344" i="6" s="1"/>
  <c r="H325" i="6"/>
  <c r="H318" i="6" s="1"/>
  <c r="I325" i="6"/>
  <c r="J325" i="6"/>
  <c r="Q325" i="6"/>
  <c r="U302" i="6"/>
  <c r="T309" i="6"/>
  <c r="U348" i="6"/>
  <c r="K348" i="6" s="1"/>
  <c r="L348" i="6" s="1"/>
  <c r="U446" i="6"/>
  <c r="K446" i="6" s="1"/>
  <c r="L446" i="6" s="1"/>
  <c r="T453" i="6"/>
  <c r="U453" i="6" s="1"/>
  <c r="T455" i="6"/>
  <c r="U455" i="6" s="1"/>
  <c r="K455" i="6" s="1"/>
  <c r="L455" i="6" s="1"/>
  <c r="T452" i="6"/>
  <c r="U452" i="6" s="1"/>
  <c r="K452" i="6" s="1"/>
  <c r="L452" i="6" s="1"/>
  <c r="U454" i="6"/>
  <c r="K454" i="6" s="1"/>
  <c r="L454" i="6" s="1"/>
  <c r="X253" i="6"/>
  <c r="Z253" i="6" s="1"/>
  <c r="D265" i="6"/>
  <c r="P267" i="6"/>
  <c r="T447" i="6"/>
  <c r="U447" i="6" s="1"/>
  <c r="K447" i="6" s="1"/>
  <c r="L447" i="6" s="1"/>
  <c r="T448" i="6"/>
  <c r="U448" i="6" s="1"/>
  <c r="K448" i="6" s="1"/>
  <c r="L448" i="6" s="1"/>
  <c r="M265" i="6"/>
  <c r="T449" i="6"/>
  <c r="U449" i="6" s="1"/>
  <c r="K449" i="6" s="1"/>
  <c r="L449" i="6" s="1"/>
  <c r="T349" i="6"/>
  <c r="U349" i="6" s="1"/>
  <c r="K349" i="6" s="1"/>
  <c r="L349" i="6" s="1"/>
  <c r="W256" i="6"/>
  <c r="Z256" i="6" s="1"/>
  <c r="S267" i="6"/>
  <c r="T347" i="6"/>
  <c r="U347" i="6" s="1"/>
  <c r="K347" i="6" s="1"/>
  <c r="L347" i="6" s="1"/>
  <c r="T346" i="6"/>
  <c r="U346" i="6" s="1"/>
  <c r="K346" i="6" s="1"/>
  <c r="L346" i="6" s="1"/>
  <c r="T345" i="6"/>
  <c r="AA256" i="6" l="1"/>
  <c r="K302" i="6"/>
  <c r="L302" i="6" s="1"/>
  <c r="M301" i="6" s="1"/>
  <c r="U309" i="6"/>
  <c r="R325" i="6"/>
  <c r="R326" i="6" s="1"/>
  <c r="I318" i="6"/>
  <c r="Q326" i="6" s="1"/>
  <c r="Q318" i="6" s="1"/>
  <c r="S325" i="6"/>
  <c r="S326" i="6" s="1"/>
  <c r="M445" i="6"/>
  <c r="X443" i="6" s="1"/>
  <c r="K453" i="6"/>
  <c r="L453" i="6" s="1"/>
  <c r="M451" i="6" s="1"/>
  <c r="U456" i="6"/>
  <c r="T456" i="6"/>
  <c r="U450" i="6"/>
  <c r="AC24" i="9"/>
  <c r="N134" i="22"/>
  <c r="O59" i="3"/>
  <c r="N161" i="22"/>
  <c r="O80" i="3"/>
  <c r="AC19" i="11"/>
  <c r="P269" i="6"/>
  <c r="R269" i="6"/>
  <c r="O269" i="6"/>
  <c r="M266" i="6"/>
  <c r="T269" i="6"/>
  <c r="Q269" i="6"/>
  <c r="S269" i="6"/>
  <c r="E266" i="6"/>
  <c r="G265" i="6"/>
  <c r="E265" i="6"/>
  <c r="T350" i="6"/>
  <c r="U345" i="6"/>
  <c r="AA253" i="6"/>
  <c r="T450" i="6"/>
  <c r="X302" i="6"/>
  <c r="J11" i="2"/>
  <c r="M310" i="6"/>
  <c r="N310" i="6" s="1"/>
  <c r="K11" i="2" s="1"/>
  <c r="T325" i="6" l="1"/>
  <c r="U325" i="6" s="1"/>
  <c r="K325" i="6" s="1"/>
  <c r="L325" i="6" s="1"/>
  <c r="T322" i="6"/>
  <c r="U322" i="6" s="1"/>
  <c r="K322" i="6" s="1"/>
  <c r="L322" i="6" s="1"/>
  <c r="T321" i="6"/>
  <c r="U321" i="6" s="1"/>
  <c r="K321" i="6" s="1"/>
  <c r="L321" i="6" s="1"/>
  <c r="T323" i="6"/>
  <c r="U323" i="6" s="1"/>
  <c r="K323" i="6" s="1"/>
  <c r="L323" i="6" s="1"/>
  <c r="T320" i="6"/>
  <c r="U320" i="6" s="1"/>
  <c r="K320" i="6" s="1"/>
  <c r="L320" i="6" s="1"/>
  <c r="T319" i="6"/>
  <c r="T324" i="6"/>
  <c r="U324" i="6" s="1"/>
  <c r="K324" i="6" s="1"/>
  <c r="L324" i="6" s="1"/>
  <c r="N301" i="6"/>
  <c r="K10" i="2" s="1"/>
  <c r="J10" i="2"/>
  <c r="X301" i="6"/>
  <c r="X444" i="6"/>
  <c r="J29" i="2"/>
  <c r="B10" i="11" s="1"/>
  <c r="N445" i="6"/>
  <c r="K29" i="2" s="1"/>
  <c r="J30" i="2"/>
  <c r="AB122" i="3" s="1"/>
  <c r="N451" i="6"/>
  <c r="K30" i="2" s="1"/>
  <c r="V24" i="3"/>
  <c r="I265" i="6"/>
  <c r="G204" i="6"/>
  <c r="AC20" i="11"/>
  <c r="N162" i="22"/>
  <c r="E159" i="22" s="1"/>
  <c r="N126" i="22"/>
  <c r="AB23" i="7"/>
  <c r="E14" i="22"/>
  <c r="G61" i="22"/>
  <c r="I61" i="22" s="1"/>
  <c r="AB103" i="3"/>
  <c r="B12" i="9"/>
  <c r="K345" i="6"/>
  <c r="L345" i="6" s="1"/>
  <c r="M344" i="6" s="1"/>
  <c r="U350" i="6"/>
  <c r="AB27" i="23"/>
  <c r="N144" i="22"/>
  <c r="N153" i="22"/>
  <c r="AC22" i="24"/>
  <c r="N171" i="22"/>
  <c r="S172" i="22" s="1"/>
  <c r="S168" i="22" s="1"/>
  <c r="AA23" i="12"/>
  <c r="AC25" i="9"/>
  <c r="AC26" i="23"/>
  <c r="N135" i="22"/>
  <c r="E132" i="22" s="1"/>
  <c r="X127" i="22" l="1"/>
  <c r="X123" i="22" s="1"/>
  <c r="U127" i="22"/>
  <c r="U123" i="22" s="1"/>
  <c r="Q154" i="22"/>
  <c r="Q150" i="22" s="1"/>
  <c r="Z154" i="22"/>
  <c r="Z150" i="22" s="1"/>
  <c r="Q172" i="22"/>
  <c r="Q168" i="22" s="1"/>
  <c r="Z172" i="22"/>
  <c r="Z168" i="22" s="1"/>
  <c r="W127" i="22"/>
  <c r="W123" i="22" s="1"/>
  <c r="Y127" i="22"/>
  <c r="Y123" i="22" s="1"/>
  <c r="R127" i="22"/>
  <c r="R123" i="22" s="1"/>
  <c r="V127" i="22"/>
  <c r="V123" i="22" s="1"/>
  <c r="AB121" i="3"/>
  <c r="E36" i="22"/>
  <c r="F36" i="22" s="1"/>
  <c r="S127" i="22"/>
  <c r="S123" i="22" s="1"/>
  <c r="Q127" i="22"/>
  <c r="Q123" i="22" s="1"/>
  <c r="E13" i="22"/>
  <c r="F13" i="22" s="1"/>
  <c r="G60" i="22"/>
  <c r="I60" i="22" s="1"/>
  <c r="B9" i="9"/>
  <c r="AB102" i="3"/>
  <c r="G79" i="22"/>
  <c r="I79" i="22" s="1"/>
  <c r="Q79" i="22" s="1"/>
  <c r="U319" i="6"/>
  <c r="T326" i="6"/>
  <c r="E457" i="6"/>
  <c r="G80" i="22"/>
  <c r="I80" i="22" s="1"/>
  <c r="Q80" i="22" s="1"/>
  <c r="E37" i="22"/>
  <c r="F37" i="22" s="1"/>
  <c r="B13" i="11"/>
  <c r="K13" i="11" s="1"/>
  <c r="U154" i="22"/>
  <c r="U150" i="22" s="1"/>
  <c r="V154" i="22"/>
  <c r="V150" i="22" s="1"/>
  <c r="Q61" i="22"/>
  <c r="E150" i="22"/>
  <c r="T154" i="22"/>
  <c r="T150" i="22" s="1"/>
  <c r="X306" i="6"/>
  <c r="N344" i="6"/>
  <c r="J15" i="2"/>
  <c r="H14" i="22"/>
  <c r="F14" i="22"/>
  <c r="E141" i="22"/>
  <c r="L12" i="9"/>
  <c r="D12" i="9"/>
  <c r="I12" i="9"/>
  <c r="E12" i="9"/>
  <c r="M12" i="9"/>
  <c r="K12" i="9"/>
  <c r="H12" i="9"/>
  <c r="G12" i="9"/>
  <c r="J12" i="9"/>
  <c r="F12" i="9"/>
  <c r="I10" i="11"/>
  <c r="H10" i="11"/>
  <c r="M10" i="11"/>
  <c r="G10" i="11"/>
  <c r="K10" i="11"/>
  <c r="L10" i="11"/>
  <c r="O10" i="11"/>
  <c r="N10" i="11"/>
  <c r="D10" i="11"/>
  <c r="F10" i="11"/>
  <c r="E10" i="11"/>
  <c r="J10" i="11"/>
  <c r="E168" i="22"/>
  <c r="V172" i="22"/>
  <c r="V168" i="22" s="1"/>
  <c r="E123" i="22"/>
  <c r="T127" i="22"/>
  <c r="T123" i="22" s="1"/>
  <c r="AE19" i="22"/>
  <c r="X22" i="3"/>
  <c r="J168" i="22" l="1"/>
  <c r="T15" i="11"/>
  <c r="L28" i="2"/>
  <c r="AC120" i="3" s="1"/>
  <c r="P61" i="22"/>
  <c r="S61" i="22" s="1"/>
  <c r="J150" i="22"/>
  <c r="J29" i="22" s="1"/>
  <c r="J123" i="22"/>
  <c r="J4" i="22" s="1"/>
  <c r="P52" i="3" s="1"/>
  <c r="W6" i="7" s="1"/>
  <c r="J38" i="22"/>
  <c r="P87" i="3" s="1"/>
  <c r="X6" i="12" s="1"/>
  <c r="AB442" i="6"/>
  <c r="AB444" i="6" s="1"/>
  <c r="L13" i="11"/>
  <c r="E13" i="11"/>
  <c r="M13" i="11"/>
  <c r="N13" i="11"/>
  <c r="J13" i="11"/>
  <c r="O13" i="11"/>
  <c r="V78" i="22"/>
  <c r="N164" i="22" s="1"/>
  <c r="S164" i="22" s="1"/>
  <c r="G34" i="22"/>
  <c r="G159" i="22" s="1"/>
  <c r="K9" i="9"/>
  <c r="E9" i="9"/>
  <c r="L9" i="9"/>
  <c r="D9" i="9"/>
  <c r="G9" i="9"/>
  <c r="J9" i="9"/>
  <c r="F9" i="9"/>
  <c r="M9" i="9"/>
  <c r="H9" i="9"/>
  <c r="I9" i="9"/>
  <c r="K319" i="6"/>
  <c r="L319" i="6" s="1"/>
  <c r="M318" i="6" s="1"/>
  <c r="M405" i="6" s="1"/>
  <c r="U326" i="6"/>
  <c r="Q60" i="22"/>
  <c r="P60" i="22"/>
  <c r="F457" i="6"/>
  <c r="P15" i="11" s="1"/>
  <c r="K83" i="3"/>
  <c r="E80" i="3" s="1"/>
  <c r="D202" i="6"/>
  <c r="E34" i="22" s="1"/>
  <c r="H78" i="22" s="1"/>
  <c r="I13" i="11"/>
  <c r="G13" i="11"/>
  <c r="F13" i="11"/>
  <c r="D13" i="11"/>
  <c r="H13" i="11"/>
  <c r="B24" i="9"/>
  <c r="AB107" i="3"/>
  <c r="G65" i="22"/>
  <c r="I65" i="22" s="1"/>
  <c r="E18" i="22"/>
  <c r="K15" i="2"/>
  <c r="S60" i="22" l="1"/>
  <c r="Y164" i="22"/>
  <c r="T164" i="22"/>
  <c r="F80" i="3"/>
  <c r="BT12" i="11"/>
  <c r="BT14" i="11" s="1"/>
  <c r="BB363" i="6"/>
  <c r="J24" i="2"/>
  <c r="X363" i="6"/>
  <c r="N405" i="6"/>
  <c r="J80" i="3"/>
  <c r="C80" i="3"/>
  <c r="K80" i="3"/>
  <c r="I80" i="3"/>
  <c r="M80" i="3"/>
  <c r="D80" i="3"/>
  <c r="G80" i="3"/>
  <c r="C83" i="3"/>
  <c r="Z164" i="22"/>
  <c r="R164" i="22"/>
  <c r="X164" i="22"/>
  <c r="H80" i="3"/>
  <c r="L80" i="3"/>
  <c r="V164" i="22"/>
  <c r="U164" i="22"/>
  <c r="Q164" i="22"/>
  <c r="F159" i="22"/>
  <c r="W164" i="22"/>
  <c r="L78" i="22"/>
  <c r="F202" i="6"/>
  <c r="A73" i="3"/>
  <c r="C27" i="3" s="1"/>
  <c r="G202" i="6"/>
  <c r="H34" i="22" s="1"/>
  <c r="H159" i="22" s="1"/>
  <c r="N159" i="22" s="1"/>
  <c r="X303" i="6"/>
  <c r="J12" i="2"/>
  <c r="N318" i="6"/>
  <c r="F18" i="22"/>
  <c r="H18" i="22"/>
  <c r="J78" i="22"/>
  <c r="P65" i="22"/>
  <c r="S65" i="22" s="1"/>
  <c r="Q65" i="22"/>
  <c r="H24" i="9"/>
  <c r="E24" i="9"/>
  <c r="I24" i="9"/>
  <c r="L24" i="9"/>
  <c r="M24" i="9"/>
  <c r="F24" i="9"/>
  <c r="J24" i="9"/>
  <c r="G24" i="9"/>
  <c r="K24" i="9"/>
  <c r="D24" i="9"/>
  <c r="K24" i="2" l="1"/>
  <c r="AB116" i="3"/>
  <c r="G74" i="22"/>
  <c r="I74" i="22" s="1"/>
  <c r="C28" i="23"/>
  <c r="BD363" i="6"/>
  <c r="BD364" i="6" s="1"/>
  <c r="BC363" i="6"/>
  <c r="BC364" i="6" s="1"/>
  <c r="N78" i="22"/>
  <c r="B15" i="9"/>
  <c r="G62" i="22"/>
  <c r="I62" i="22" s="1"/>
  <c r="AB104" i="3"/>
  <c r="E15" i="22"/>
  <c r="K12" i="2"/>
  <c r="Y163" i="22"/>
  <c r="Y159" i="22" s="1"/>
  <c r="Q163" i="22"/>
  <c r="Q159" i="22" s="1"/>
  <c r="Z163" i="22"/>
  <c r="Z159" i="22"/>
  <c r="X163" i="22"/>
  <c r="X159" i="22" s="1"/>
  <c r="T163" i="22"/>
  <c r="T159" i="22" s="1"/>
  <c r="U163" i="22"/>
  <c r="U159" i="22" s="1"/>
  <c r="W163" i="22"/>
  <c r="W159" i="22" s="1"/>
  <c r="V163" i="22"/>
  <c r="V159" i="22" s="1"/>
  <c r="S163" i="22"/>
  <c r="S159" i="22" s="1"/>
  <c r="R163" i="22"/>
  <c r="R159" i="22" s="1"/>
  <c r="P70" i="22" l="1"/>
  <c r="S70" i="22" s="1"/>
  <c r="P79" i="22"/>
  <c r="S79" i="22" s="1"/>
  <c r="P69" i="22"/>
  <c r="S69" i="22" s="1"/>
  <c r="P84" i="22"/>
  <c r="S84" i="22" s="1"/>
  <c r="P76" i="22"/>
  <c r="S76" i="22" s="1"/>
  <c r="P71" i="22"/>
  <c r="S71" i="22" s="1"/>
  <c r="P68" i="22"/>
  <c r="S68" i="22" s="1"/>
  <c r="P73" i="22"/>
  <c r="S73" i="22" s="1"/>
  <c r="BA365" i="6"/>
  <c r="E413" i="6" s="1"/>
  <c r="G28" i="23"/>
  <c r="E28" i="23"/>
  <c r="I28" i="23"/>
  <c r="K28" i="23"/>
  <c r="D28" i="23"/>
  <c r="F28" i="23"/>
  <c r="M28" i="23"/>
  <c r="H28" i="23"/>
  <c r="J28" i="23"/>
  <c r="L28" i="23"/>
  <c r="Q74" i="22"/>
  <c r="V66" i="22"/>
  <c r="N146" i="22" s="1"/>
  <c r="H15" i="22"/>
  <c r="F15" i="22"/>
  <c r="P77" i="22"/>
  <c r="S77" i="22" s="1"/>
  <c r="P62" i="22"/>
  <c r="P72" i="22"/>
  <c r="S72" i="22" s="1"/>
  <c r="Q62" i="22"/>
  <c r="E15" i="9"/>
  <c r="I15" i="9"/>
  <c r="K15" i="9"/>
  <c r="L15" i="9"/>
  <c r="J15" i="9"/>
  <c r="F15" i="9"/>
  <c r="M15" i="9"/>
  <c r="H15" i="9"/>
  <c r="D15" i="9"/>
  <c r="G15" i="9"/>
  <c r="J159" i="22"/>
  <c r="J34" i="22" s="1"/>
  <c r="P80" i="3" s="1"/>
  <c r="X6" i="11" s="1"/>
  <c r="K69" i="3" l="1"/>
  <c r="G66" i="3" s="1"/>
  <c r="L16" i="2"/>
  <c r="AC108" i="3" s="1"/>
  <c r="U75" i="22"/>
  <c r="W73" i="3" s="1"/>
  <c r="X12" i="24" s="1"/>
  <c r="AB355" i="6"/>
  <c r="AB357" i="6" s="1"/>
  <c r="BL3" i="23" s="1"/>
  <c r="S18" i="23"/>
  <c r="D200" i="6"/>
  <c r="G200" i="6" s="1"/>
  <c r="H19" i="22" s="1"/>
  <c r="H141" i="22" s="1"/>
  <c r="F413" i="6"/>
  <c r="C69" i="3" s="1"/>
  <c r="F141" i="22"/>
  <c r="X146" i="22"/>
  <c r="V146" i="22"/>
  <c r="R146" i="22"/>
  <c r="W146" i="22"/>
  <c r="S146" i="22"/>
  <c r="Z146" i="22"/>
  <c r="U146" i="22"/>
  <c r="Y146" i="22"/>
  <c r="Q146" i="22"/>
  <c r="T146" i="22"/>
  <c r="S62" i="22"/>
  <c r="C66" i="3" l="1"/>
  <c r="E66" i="3"/>
  <c r="D66" i="3"/>
  <c r="H66" i="3"/>
  <c r="J66" i="3"/>
  <c r="F66" i="3"/>
  <c r="I66" i="3"/>
  <c r="M66" i="3"/>
  <c r="L66" i="3"/>
  <c r="K66" i="3"/>
  <c r="Q157" i="22"/>
  <c r="R157" i="22" s="1"/>
  <c r="S157" i="22" s="1"/>
  <c r="T157" i="22" s="1"/>
  <c r="U157" i="22" s="1"/>
  <c r="V157" i="22" s="1"/>
  <c r="W157" i="22" s="1"/>
  <c r="X157" i="22" s="1"/>
  <c r="Y157" i="22" s="1"/>
  <c r="Z157" i="22" s="1"/>
  <c r="O18" i="23"/>
  <c r="BL1" i="23"/>
  <c r="F200" i="6"/>
  <c r="A70" i="3"/>
  <c r="C22" i="3" s="1"/>
  <c r="E19" i="22"/>
  <c r="H66" i="22" s="1"/>
  <c r="L66" i="22" s="1"/>
  <c r="N141" i="22"/>
  <c r="J151" i="22" l="1"/>
  <c r="J31" i="22" s="1"/>
  <c r="J66" i="22"/>
  <c r="Z145" i="22"/>
  <c r="Z141" i="22"/>
  <c r="W145" i="22"/>
  <c r="W141" i="22" s="1"/>
  <c r="X145" i="22"/>
  <c r="X141" i="22" s="1"/>
  <c r="Y145" i="22"/>
  <c r="Y141" i="22" s="1"/>
  <c r="U145" i="22"/>
  <c r="U141" i="22" s="1"/>
  <c r="Q145" i="22"/>
  <c r="Q141" i="22" s="1"/>
  <c r="R145" i="22"/>
  <c r="R141" i="22" s="1"/>
  <c r="T145" i="22"/>
  <c r="T141" i="22" s="1"/>
  <c r="V145" i="22"/>
  <c r="V141" i="22" s="1"/>
  <c r="S145" i="22"/>
  <c r="S141" i="22" s="1"/>
  <c r="N66" i="22" l="1"/>
  <c r="J141" i="22"/>
  <c r="J19" i="22" s="1"/>
  <c r="P66" i="3" s="1"/>
  <c r="X5" i="23" s="1"/>
  <c r="P80" i="22"/>
  <c r="S80" i="22" s="1"/>
  <c r="U78" i="22" s="1"/>
  <c r="Q166" i="22" l="1"/>
  <c r="R166" i="22" s="1"/>
  <c r="S166" i="22" s="1"/>
  <c r="W80" i="3"/>
  <c r="X13" i="11" s="1"/>
  <c r="J160" i="22" l="1"/>
  <c r="J35" i="22" s="1"/>
  <c r="T166" i="22"/>
  <c r="U166" i="22" s="1"/>
  <c r="V166" i="22" s="1"/>
  <c r="W166" i="22" s="1"/>
  <c r="X166" i="22" s="1"/>
  <c r="Y166" i="22" s="1"/>
  <c r="Z166" i="22" s="1"/>
  <c r="P74" i="22"/>
  <c r="S74" i="22" s="1"/>
  <c r="P67" i="22"/>
  <c r="S67" i="22" s="1"/>
  <c r="U66" i="22" l="1"/>
  <c r="Q148" i="22" s="1"/>
  <c r="R148" i="22" s="1"/>
  <c r="W66" i="3" l="1"/>
  <c r="X15" i="23" s="1"/>
  <c r="J142" i="22"/>
  <c r="J20" i="22" s="1"/>
  <c r="S148" i="22"/>
  <c r="T148" i="22" s="1"/>
  <c r="U148" i="22" s="1"/>
  <c r="V148" i="22" s="1"/>
  <c r="W148" i="22" s="1"/>
  <c r="X148" i="22" s="1"/>
  <c r="Y148" i="22" s="1"/>
  <c r="Z148" i="22" s="1"/>
  <c r="P82" i="22" l="1"/>
  <c r="S82" i="22" s="1"/>
  <c r="P83" i="22"/>
  <c r="S83" i="22" s="1"/>
  <c r="U81" i="22" l="1"/>
  <c r="Q175" i="22" s="1"/>
  <c r="R175" i="22" s="1"/>
  <c r="S175" i="22" s="1"/>
  <c r="T175" i="22" s="1"/>
  <c r="U175" i="22" s="1"/>
  <c r="V175" i="22" s="1"/>
  <c r="W87" i="3" l="1"/>
  <c r="X13" i="12" s="1"/>
  <c r="J169" i="22"/>
  <c r="J39" i="22" s="1"/>
  <c r="W175" i="22"/>
  <c r="X175" i="22" s="1"/>
  <c r="Y175" i="22" s="1"/>
  <c r="Z175" i="22" s="1"/>
  <c r="L9" i="2" l="1"/>
  <c r="J14" i="2"/>
  <c r="K14" i="2"/>
  <c r="H1" i="22"/>
  <c r="AF4" i="22"/>
  <c r="AG4" i="22"/>
  <c r="AH4" i="22"/>
  <c r="AI4" i="22"/>
  <c r="AJ4" i="22"/>
  <c r="AK4" i="22"/>
  <c r="AL4" i="22"/>
  <c r="AM4" i="22"/>
  <c r="AN4" i="22"/>
  <c r="AO4" i="22"/>
  <c r="AF5" i="22"/>
  <c r="AG5" i="22"/>
  <c r="AH5" i="22"/>
  <c r="AI5" i="22"/>
  <c r="AJ5" i="22"/>
  <c r="AK5" i="22"/>
  <c r="AL5" i="22"/>
  <c r="AM5" i="22"/>
  <c r="AN5" i="22"/>
  <c r="E10" i="22"/>
  <c r="G10" i="22"/>
  <c r="H10" i="22"/>
  <c r="J10" i="22"/>
  <c r="AF10" i="22"/>
  <c r="AG10" i="22"/>
  <c r="AH10" i="22"/>
  <c r="AI10" i="22"/>
  <c r="AJ10" i="22"/>
  <c r="J11" i="22"/>
  <c r="AF11" i="22"/>
  <c r="AG11" i="22"/>
  <c r="AH11" i="22"/>
  <c r="AI11" i="22"/>
  <c r="AJ11" i="22"/>
  <c r="AK11" i="22"/>
  <c r="AL11" i="22"/>
  <c r="AM11" i="22"/>
  <c r="AN11" i="22"/>
  <c r="J12" i="22"/>
  <c r="AD14" i="22"/>
  <c r="AF14" i="22"/>
  <c r="AG14" i="22"/>
  <c r="AF15" i="22"/>
  <c r="AG15" i="22"/>
  <c r="E17" i="22"/>
  <c r="F17" i="22"/>
  <c r="H17" i="22"/>
  <c r="AF17" i="22"/>
  <c r="AF18" i="22"/>
  <c r="AF19" i="22"/>
  <c r="AF20" i="22"/>
  <c r="AF22" i="22"/>
  <c r="AE23" i="22"/>
  <c r="AF23" i="22"/>
  <c r="H59" i="22"/>
  <c r="J59" i="22"/>
  <c r="K59" i="22"/>
  <c r="L59" i="22"/>
  <c r="N59" i="22"/>
  <c r="U59" i="22"/>
  <c r="V59" i="22"/>
  <c r="G64" i="22"/>
  <c r="I64" i="22"/>
  <c r="P64" i="22"/>
  <c r="Q64" i="22"/>
  <c r="S64" i="22"/>
  <c r="K66" i="22"/>
  <c r="K75" i="22"/>
  <c r="K78" i="22"/>
  <c r="K81" i="22"/>
  <c r="I85" i="22"/>
  <c r="J85" i="22"/>
  <c r="C86" i="22"/>
  <c r="C87" i="22"/>
  <c r="C88" i="22"/>
  <c r="C89" i="22"/>
  <c r="F132" i="22"/>
  <c r="G132" i="22"/>
  <c r="H132" i="22"/>
  <c r="J132" i="22"/>
  <c r="N132" i="22"/>
  <c r="Q132" i="22"/>
  <c r="R132" i="22"/>
  <c r="S132" i="22"/>
  <c r="T132" i="22"/>
  <c r="U132" i="22"/>
  <c r="V132" i="22"/>
  <c r="W132" i="22"/>
  <c r="X132" i="22"/>
  <c r="Y132" i="22"/>
  <c r="Z132" i="22"/>
  <c r="J133" i="22"/>
  <c r="Q136" i="22"/>
  <c r="R136" i="22"/>
  <c r="S136" i="22"/>
  <c r="T136" i="22"/>
  <c r="U136" i="22"/>
  <c r="V136" i="22"/>
  <c r="W136" i="22"/>
  <c r="X136" i="22"/>
  <c r="Y136" i="22"/>
  <c r="Z136" i="22"/>
  <c r="N137" i="22"/>
  <c r="Q137" i="22"/>
  <c r="R137" i="22"/>
  <c r="S137" i="22"/>
  <c r="T137" i="22"/>
  <c r="U137" i="22"/>
  <c r="V137" i="22"/>
  <c r="W137" i="22"/>
  <c r="X137" i="22"/>
  <c r="Y137" i="22"/>
  <c r="Z137" i="22"/>
  <c r="Q139" i="22"/>
  <c r="R139" i="22"/>
  <c r="S139" i="22"/>
  <c r="T139" i="22"/>
  <c r="U139" i="22"/>
  <c r="V139" i="22"/>
  <c r="W139" i="22"/>
  <c r="X139" i="22"/>
  <c r="Y139" i="22"/>
  <c r="Z139" i="22"/>
  <c r="Q11" i="3"/>
  <c r="BQ12" i="3"/>
  <c r="C13" i="3"/>
  <c r="BQ14" i="3"/>
  <c r="Q15" i="3"/>
  <c r="V22" i="3"/>
  <c r="V23" i="3"/>
  <c r="A59" i="3"/>
  <c r="C59" i="3"/>
  <c r="D59" i="3"/>
  <c r="E59" i="3"/>
  <c r="F59" i="3"/>
  <c r="G59" i="3"/>
  <c r="H59" i="3"/>
  <c r="I59" i="3"/>
  <c r="J59" i="3"/>
  <c r="K59" i="3"/>
  <c r="L59" i="3"/>
  <c r="P59" i="3"/>
  <c r="W59" i="3"/>
  <c r="O60" i="3"/>
  <c r="O61" i="3"/>
  <c r="C62" i="3"/>
  <c r="K62" i="3"/>
  <c r="P73" i="3"/>
  <c r="AC101" i="3"/>
  <c r="AB106" i="3"/>
  <c r="C53" i="6"/>
  <c r="C54" i="6"/>
  <c r="C55" i="6"/>
  <c r="C56" i="6"/>
  <c r="C57" i="6"/>
  <c r="P197" i="6"/>
  <c r="AE197" i="6"/>
  <c r="AF197" i="6"/>
  <c r="AE198" i="6"/>
  <c r="AF198" i="6"/>
  <c r="D199" i="6"/>
  <c r="F199" i="6"/>
  <c r="G199" i="6"/>
  <c r="P199" i="6"/>
  <c r="AE199" i="6"/>
  <c r="AF199" i="6"/>
  <c r="AE200" i="6"/>
  <c r="AF200" i="6"/>
  <c r="AE201" i="6"/>
  <c r="AF201" i="6"/>
  <c r="AE202" i="6"/>
  <c r="F204" i="6"/>
  <c r="K208" i="6"/>
  <c r="L208" i="6"/>
  <c r="AB300" i="6"/>
  <c r="AF300" i="6"/>
  <c r="AG300" i="6"/>
  <c r="AF301" i="6"/>
  <c r="AG301" i="6"/>
  <c r="AB302" i="6"/>
  <c r="AF302" i="6"/>
  <c r="AG302" i="6"/>
  <c r="AF303" i="6"/>
  <c r="AG303" i="6"/>
  <c r="AF304" i="6"/>
  <c r="AG304" i="6"/>
  <c r="X305" i="6"/>
  <c r="AF305" i="6"/>
  <c r="D333" i="6"/>
  <c r="H333" i="6"/>
  <c r="I333" i="6"/>
  <c r="J333" i="6"/>
  <c r="M333" i="6"/>
  <c r="N333" i="6"/>
  <c r="Q333" i="6"/>
  <c r="K334" i="6"/>
  <c r="L334" i="6"/>
  <c r="M334" i="6"/>
  <c r="T334" i="6"/>
  <c r="U334" i="6"/>
  <c r="K335" i="6"/>
  <c r="L335" i="6"/>
  <c r="T335" i="6"/>
  <c r="U335" i="6"/>
  <c r="K336" i="6"/>
  <c r="L336" i="6"/>
  <c r="T336" i="6"/>
  <c r="U336" i="6"/>
  <c r="K337" i="6"/>
  <c r="L337" i="6"/>
  <c r="T337" i="6"/>
  <c r="U337" i="6"/>
  <c r="C338" i="6"/>
  <c r="D338" i="6"/>
  <c r="F338" i="6"/>
  <c r="G338" i="6"/>
  <c r="H338" i="6"/>
  <c r="I338" i="6"/>
  <c r="J338" i="6"/>
  <c r="K338" i="6"/>
  <c r="L338" i="6"/>
  <c r="Q338" i="6"/>
  <c r="R338" i="6"/>
  <c r="S338" i="6"/>
  <c r="T338" i="6"/>
  <c r="U338" i="6"/>
  <c r="C339" i="6"/>
  <c r="D339" i="6"/>
  <c r="F339" i="6"/>
  <c r="G339" i="6"/>
  <c r="H339" i="6"/>
  <c r="I339" i="6"/>
  <c r="J339" i="6"/>
  <c r="K339" i="6"/>
  <c r="L339" i="6"/>
  <c r="Q339" i="6"/>
  <c r="R339" i="6"/>
  <c r="S339" i="6"/>
  <c r="T339" i="6"/>
  <c r="U339" i="6"/>
  <c r="C340" i="6"/>
  <c r="D340" i="6"/>
  <c r="F340" i="6"/>
  <c r="G340" i="6"/>
  <c r="H340" i="6"/>
  <c r="I340" i="6"/>
  <c r="J340" i="6"/>
  <c r="K340" i="6"/>
  <c r="L340" i="6"/>
  <c r="Q340" i="6"/>
  <c r="R340" i="6"/>
  <c r="S340" i="6"/>
  <c r="T340" i="6"/>
  <c r="U340" i="6"/>
  <c r="C341" i="6"/>
  <c r="D341" i="6"/>
  <c r="F341" i="6"/>
  <c r="G341" i="6"/>
  <c r="H341" i="6"/>
  <c r="I341" i="6"/>
  <c r="J341" i="6"/>
  <c r="K341" i="6"/>
  <c r="L341" i="6"/>
  <c r="Q341" i="6"/>
  <c r="R341" i="6"/>
  <c r="S341" i="6"/>
  <c r="T341" i="6"/>
  <c r="U341" i="6"/>
  <c r="C342" i="6"/>
  <c r="D342" i="6"/>
  <c r="F342" i="6"/>
  <c r="G342" i="6"/>
  <c r="H342" i="6"/>
  <c r="I342" i="6"/>
  <c r="J342" i="6"/>
  <c r="K342" i="6"/>
  <c r="L342" i="6"/>
  <c r="Q342" i="6"/>
  <c r="R342" i="6"/>
  <c r="S342" i="6"/>
  <c r="T342" i="6"/>
  <c r="U342" i="6"/>
  <c r="Q343" i="6"/>
  <c r="R343" i="6"/>
  <c r="S343" i="6"/>
  <c r="T343" i="6"/>
  <c r="U343" i="6"/>
  <c r="AF347" i="6"/>
  <c r="AF349" i="6"/>
  <c r="E350" i="6"/>
  <c r="F350" i="6"/>
  <c r="C93" i="28"/>
  <c r="D93" i="28"/>
  <c r="Q93" i="28"/>
  <c r="C94" i="28"/>
  <c r="D94" i="28"/>
  <c r="Q94" i="28"/>
  <c r="C95" i="28"/>
  <c r="D95" i="28"/>
  <c r="Q95" i="28"/>
  <c r="C96" i="28"/>
  <c r="D96" i="28"/>
  <c r="Q96" i="28"/>
  <c r="D97" i="28"/>
  <c r="Q97" i="28"/>
  <c r="C98" i="28"/>
  <c r="D98" i="28"/>
  <c r="X6" i="9"/>
  <c r="BV11" i="9"/>
  <c r="X13" i="9"/>
  <c r="BV13" i="9"/>
  <c r="O19" i="9"/>
  <c r="S19" i="9"/>
  <c r="B21" i="9"/>
  <c r="D21" i="9"/>
  <c r="E21" i="9"/>
  <c r="F21" i="9"/>
  <c r="G21" i="9"/>
  <c r="H21" i="9"/>
  <c r="I21" i="9"/>
  <c r="J21" i="9"/>
  <c r="K21" i="9"/>
  <c r="L21" i="9"/>
  <c r="M21" i="9"/>
  <c r="AC22" i="9"/>
  <c r="AC23" i="9"/>
  <c r="C69" i="9"/>
  <c r="D69" i="9"/>
  <c r="C70" i="9"/>
  <c r="D70" i="9"/>
  <c r="C71" i="9"/>
  <c r="D71" i="9"/>
  <c r="C72" i="9"/>
  <c r="D72" i="9"/>
  <c r="C73" i="9"/>
  <c r="D73" i="9"/>
  <c r="X5" i="24"/>
  <c r="W26" i="17"/>
  <c r="U33" i="17"/>
  <c r="P39" i="17"/>
  <c r="AD39" i="17"/>
  <c r="P40" i="17"/>
  <c r="P41" i="17"/>
  <c r="P42" i="17"/>
  <c r="P43" i="17"/>
  <c r="T47" i="17"/>
  <c r="U47" i="17"/>
  <c r="W47" i="17"/>
  <c r="S48" i="17"/>
  <c r="T48" i="17"/>
  <c r="U48" i="17"/>
  <c r="W48" i="17"/>
  <c r="S49" i="17"/>
  <c r="T49" i="17"/>
  <c r="U49" i="17"/>
  <c r="W49" i="17"/>
  <c r="S50" i="17"/>
  <c r="T50" i="17"/>
  <c r="U50" i="17"/>
  <c r="W50" i="17"/>
  <c r="S51" i="17"/>
  <c r="W5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65" authorId="0" shapeId="0" xr:uid="{00000000-0006-0000-0F00-000001000000}">
      <text>
        <r>
          <rPr>
            <b/>
            <sz val="9"/>
            <color indexed="81"/>
            <rFont val="Tahoma"/>
            <family val="2"/>
          </rPr>
          <t xml:space="preserve">Note: </t>
        </r>
        <r>
          <rPr>
            <sz val="9"/>
            <color indexed="81"/>
            <rFont val="Tahoma"/>
            <family val="2"/>
          </rPr>
          <t>The max forced score will apply when the number of deal breakers triggered are beyong tolerance level and then pro-rated down from 2 in proportion to deal breakers triggered beyond tolerance.</t>
        </r>
      </text>
    </comment>
    <comment ref="H276" authorId="0" shapeId="0" xr:uid="{00000000-0006-0000-0F00-000002000000}">
      <text>
        <r>
          <rPr>
            <b/>
            <sz val="9"/>
            <color indexed="81"/>
            <rFont val="Tahoma"/>
            <family val="2"/>
          </rPr>
          <t>Note: This cell is the sum of all non-blank cells from responses below.</t>
        </r>
        <r>
          <rPr>
            <sz val="9"/>
            <color indexed="81"/>
            <rFont val="Tahoma"/>
            <family val="2"/>
          </rPr>
          <t xml:space="preserve">
</t>
        </r>
      </text>
    </comment>
    <comment ref="I276" authorId="0" shapeId="0" xr:uid="{00000000-0006-0000-0F00-000003000000}">
      <text>
        <r>
          <rPr>
            <b/>
            <sz val="9"/>
            <color indexed="81"/>
            <rFont val="Tahoma"/>
            <family val="2"/>
          </rPr>
          <t>Note: This cell is sum of responses marked N/A below.</t>
        </r>
        <r>
          <rPr>
            <sz val="9"/>
            <color indexed="81"/>
            <rFont val="Tahoma"/>
            <family val="2"/>
          </rPr>
          <t xml:space="preserve">
</t>
        </r>
      </text>
    </comment>
    <comment ref="Q276" authorId="0" shapeId="0" xr:uid="{00000000-0006-0000-0F00-000004000000}">
      <text>
        <r>
          <rPr>
            <b/>
            <sz val="9"/>
            <color indexed="81"/>
            <rFont val="Tahoma"/>
            <family val="2"/>
          </rPr>
          <t xml:space="preserve">Note: Forced Constraint for a high proportion of responses that are Negative, Uncertain and/or Skip
</t>
        </r>
      </text>
    </comment>
    <comment ref="Q280" authorId="0" shapeId="0" xr:uid="{00000000-0006-0000-0F00-000005000000}">
      <text>
        <r>
          <rPr>
            <b/>
            <sz val="9"/>
            <color indexed="81"/>
            <rFont val="Tahoma"/>
            <family val="2"/>
          </rPr>
          <t xml:space="preserve">Note: This is the % of responses that are  Negative, Uncertain and/or Skip
</t>
        </r>
        <r>
          <rPr>
            <sz val="9"/>
            <color indexed="81"/>
            <rFont val="Tahoma"/>
            <family val="2"/>
          </rPr>
          <t xml:space="preserve">
</t>
        </r>
      </text>
    </comment>
    <comment ref="H281" authorId="0" shapeId="0" xr:uid="{00000000-0006-0000-0F00-000006000000}">
      <text>
        <r>
          <rPr>
            <b/>
            <sz val="9"/>
            <color indexed="81"/>
            <rFont val="Tahoma"/>
            <family val="2"/>
          </rPr>
          <t>Note: This cell is the sum of all non-blank cells from responses below.</t>
        </r>
        <r>
          <rPr>
            <sz val="9"/>
            <color indexed="81"/>
            <rFont val="Tahoma"/>
            <family val="2"/>
          </rPr>
          <t xml:space="preserve">
</t>
        </r>
      </text>
    </comment>
    <comment ref="I281" authorId="0" shapeId="0" xr:uid="{00000000-0006-0000-0F00-000007000000}">
      <text>
        <r>
          <rPr>
            <b/>
            <sz val="9"/>
            <color indexed="81"/>
            <rFont val="Tahoma"/>
            <family val="2"/>
          </rPr>
          <t>Note: This cell is sum of responses marked N/A below.</t>
        </r>
        <r>
          <rPr>
            <sz val="9"/>
            <color indexed="81"/>
            <rFont val="Tahoma"/>
            <family val="2"/>
          </rPr>
          <t xml:space="preserve">
</t>
        </r>
      </text>
    </comment>
    <comment ref="Q281" authorId="0" shapeId="0" xr:uid="{00000000-0006-0000-0F00-000008000000}">
      <text>
        <r>
          <rPr>
            <b/>
            <sz val="9"/>
            <color indexed="81"/>
            <rFont val="Tahoma"/>
            <family val="2"/>
          </rPr>
          <t xml:space="preserve">Note: Forced Constraint for a high proportion of responses that are Negative, Uncertain and/or Skip
</t>
        </r>
      </text>
    </comment>
    <comment ref="Q285" authorId="0" shapeId="0" xr:uid="{00000000-0006-0000-0F00-000009000000}">
      <text>
        <r>
          <rPr>
            <b/>
            <sz val="9"/>
            <color indexed="81"/>
            <rFont val="Tahoma"/>
            <family val="2"/>
          </rPr>
          <t xml:space="preserve">Note: This is the % of responses that are  Negative, Uncertain and/or Skip
</t>
        </r>
        <r>
          <rPr>
            <sz val="9"/>
            <color indexed="81"/>
            <rFont val="Tahoma"/>
            <family val="2"/>
          </rPr>
          <t xml:space="preserve">
</t>
        </r>
      </text>
    </comment>
    <comment ref="H286" authorId="0" shapeId="0" xr:uid="{00000000-0006-0000-0F00-00000A000000}">
      <text>
        <r>
          <rPr>
            <b/>
            <sz val="9"/>
            <color indexed="81"/>
            <rFont val="Tahoma"/>
            <family val="2"/>
          </rPr>
          <t>Note: This cell is the sum of all non-blank cells from responses below.</t>
        </r>
        <r>
          <rPr>
            <sz val="9"/>
            <color indexed="81"/>
            <rFont val="Tahoma"/>
            <family val="2"/>
          </rPr>
          <t xml:space="preserve">
</t>
        </r>
      </text>
    </comment>
    <comment ref="I286" authorId="0" shapeId="0" xr:uid="{00000000-0006-0000-0F00-00000B000000}">
      <text>
        <r>
          <rPr>
            <b/>
            <sz val="9"/>
            <color indexed="81"/>
            <rFont val="Tahoma"/>
            <family val="2"/>
          </rPr>
          <t>Note: This cell is sum of responses marked N/A below.</t>
        </r>
        <r>
          <rPr>
            <sz val="9"/>
            <color indexed="81"/>
            <rFont val="Tahoma"/>
            <family val="2"/>
          </rPr>
          <t xml:space="preserve">
</t>
        </r>
      </text>
    </comment>
    <comment ref="Q286" authorId="0" shapeId="0" xr:uid="{00000000-0006-0000-0F00-00000C000000}">
      <text>
        <r>
          <rPr>
            <b/>
            <sz val="9"/>
            <color indexed="81"/>
            <rFont val="Tahoma"/>
            <family val="2"/>
          </rPr>
          <t xml:space="preserve">Note: Forced Constraint for a high proportion of responses that are Negative, Uncertain and/or Skip
</t>
        </r>
      </text>
    </comment>
    <comment ref="Q289" authorId="0" shapeId="0" xr:uid="{00000000-0006-0000-0F00-00000D000000}">
      <text>
        <r>
          <rPr>
            <b/>
            <sz val="9"/>
            <color indexed="81"/>
            <rFont val="Tahoma"/>
            <family val="2"/>
          </rPr>
          <t xml:space="preserve">Note: This is the % of responses that are  Negative, Uncertain and/or Skip
</t>
        </r>
        <r>
          <rPr>
            <sz val="9"/>
            <color indexed="81"/>
            <rFont val="Tahoma"/>
            <family val="2"/>
          </rPr>
          <t xml:space="preserve">
</t>
        </r>
      </text>
    </comment>
    <comment ref="H290" authorId="0" shapeId="0" xr:uid="{00000000-0006-0000-0F00-00000E000000}">
      <text>
        <r>
          <rPr>
            <b/>
            <sz val="9"/>
            <color indexed="81"/>
            <rFont val="Tahoma"/>
            <family val="2"/>
          </rPr>
          <t>Note: This cell is the sum of all non-blank cells from responses below.</t>
        </r>
        <r>
          <rPr>
            <sz val="9"/>
            <color indexed="81"/>
            <rFont val="Tahoma"/>
            <family val="2"/>
          </rPr>
          <t xml:space="preserve">
</t>
        </r>
      </text>
    </comment>
    <comment ref="I290" authorId="0" shapeId="0" xr:uid="{00000000-0006-0000-0F00-00000F000000}">
      <text>
        <r>
          <rPr>
            <b/>
            <sz val="9"/>
            <color indexed="81"/>
            <rFont val="Tahoma"/>
            <family val="2"/>
          </rPr>
          <t>Note: This cell is sum of responses marked N/A below.</t>
        </r>
        <r>
          <rPr>
            <sz val="9"/>
            <color indexed="81"/>
            <rFont val="Tahoma"/>
            <family val="2"/>
          </rPr>
          <t xml:space="preserve">
</t>
        </r>
      </text>
    </comment>
    <comment ref="Q290" authorId="0" shapeId="0" xr:uid="{00000000-0006-0000-0F00-000010000000}">
      <text>
        <r>
          <rPr>
            <b/>
            <sz val="9"/>
            <color indexed="81"/>
            <rFont val="Tahoma"/>
            <family val="2"/>
          </rPr>
          <t xml:space="preserve">Note: Forced Constraint for a high proportion of responses that are Negative, Uncertain and/or Skip
</t>
        </r>
      </text>
    </comment>
    <comment ref="Q293" authorId="0" shapeId="0" xr:uid="{00000000-0006-0000-0F00-000011000000}">
      <text>
        <r>
          <rPr>
            <b/>
            <sz val="9"/>
            <color indexed="81"/>
            <rFont val="Tahoma"/>
            <family val="2"/>
          </rPr>
          <t xml:space="preserve">Note: This is the % of responses that are  Negative, Uncertain and/or Skip
</t>
        </r>
        <r>
          <rPr>
            <sz val="9"/>
            <color indexed="81"/>
            <rFont val="Tahoma"/>
            <family val="2"/>
          </rPr>
          <t xml:space="preserve">
</t>
        </r>
      </text>
    </comment>
    <comment ref="Q295" authorId="0" shapeId="0" xr:uid="{00000000-0006-0000-0F00-000012000000}">
      <text>
        <r>
          <rPr>
            <b/>
            <sz val="9"/>
            <color indexed="81"/>
            <rFont val="Tahoma"/>
            <family val="2"/>
          </rPr>
          <t xml:space="preserve">Note: This is the % of responses that are  Negative, Uncertain and/or Skip
</t>
        </r>
        <r>
          <rPr>
            <sz val="9"/>
            <color indexed="81"/>
            <rFont val="Tahoma"/>
            <family val="2"/>
          </rPr>
          <t xml:space="preserve">
</t>
        </r>
      </text>
    </comment>
    <comment ref="H301" authorId="0" shapeId="0" xr:uid="{00000000-0006-0000-0F00-000013000000}">
      <text>
        <r>
          <rPr>
            <b/>
            <sz val="9"/>
            <color indexed="81"/>
            <rFont val="Tahoma"/>
            <family val="2"/>
          </rPr>
          <t>Note: This cell is the sum of all non-blank cells from responses below.</t>
        </r>
        <r>
          <rPr>
            <sz val="9"/>
            <color indexed="81"/>
            <rFont val="Tahoma"/>
            <family val="2"/>
          </rPr>
          <t xml:space="preserve">
</t>
        </r>
      </text>
    </comment>
    <comment ref="I301" authorId="0" shapeId="0" xr:uid="{00000000-0006-0000-0F00-000014000000}">
      <text>
        <r>
          <rPr>
            <b/>
            <sz val="9"/>
            <color indexed="81"/>
            <rFont val="Tahoma"/>
            <family val="2"/>
          </rPr>
          <t>Note: This cell is sum of responses marked N/A below.</t>
        </r>
        <r>
          <rPr>
            <sz val="9"/>
            <color indexed="81"/>
            <rFont val="Tahoma"/>
            <family val="2"/>
          </rPr>
          <t xml:space="preserve">
</t>
        </r>
      </text>
    </comment>
    <comment ref="Q301" authorId="0" shapeId="0" xr:uid="{00000000-0006-0000-0F00-000015000000}">
      <text>
        <r>
          <rPr>
            <b/>
            <sz val="9"/>
            <color indexed="81"/>
            <rFont val="Tahoma"/>
            <family val="2"/>
          </rPr>
          <t xml:space="preserve">Note: Forced Constraint for a high proportion of responses that are Negative, Uncertain and/or Skip
</t>
        </r>
      </text>
    </comment>
    <comment ref="Q309" authorId="0" shapeId="0" xr:uid="{00000000-0006-0000-0F00-000016000000}">
      <text>
        <r>
          <rPr>
            <b/>
            <sz val="9"/>
            <color indexed="81"/>
            <rFont val="Tahoma"/>
            <family val="2"/>
          </rPr>
          <t xml:space="preserve">Note: This is the % of responses that are  Negative, Uncertain and/or Skip
</t>
        </r>
        <r>
          <rPr>
            <sz val="9"/>
            <color indexed="81"/>
            <rFont val="Tahoma"/>
            <family val="2"/>
          </rPr>
          <t xml:space="preserve">
</t>
        </r>
      </text>
    </comment>
    <comment ref="H310" authorId="0" shapeId="0" xr:uid="{00000000-0006-0000-0F00-000017000000}">
      <text>
        <r>
          <rPr>
            <b/>
            <sz val="9"/>
            <color indexed="81"/>
            <rFont val="Tahoma"/>
            <family val="2"/>
          </rPr>
          <t>Note: This cell is the sum of all non-blank cells from responses below.</t>
        </r>
        <r>
          <rPr>
            <sz val="9"/>
            <color indexed="81"/>
            <rFont val="Tahoma"/>
            <family val="2"/>
          </rPr>
          <t xml:space="preserve">
</t>
        </r>
      </text>
    </comment>
    <comment ref="I310" authorId="0" shapeId="0" xr:uid="{00000000-0006-0000-0F00-000018000000}">
      <text>
        <r>
          <rPr>
            <b/>
            <sz val="9"/>
            <color indexed="81"/>
            <rFont val="Tahoma"/>
            <family val="2"/>
          </rPr>
          <t>Note: This cell is sum of responses marked N/A below.</t>
        </r>
        <r>
          <rPr>
            <sz val="9"/>
            <color indexed="81"/>
            <rFont val="Tahoma"/>
            <family val="2"/>
          </rPr>
          <t xml:space="preserve">
</t>
        </r>
      </text>
    </comment>
    <comment ref="Q310" authorId="0" shapeId="0" xr:uid="{00000000-0006-0000-0F00-000019000000}">
      <text>
        <r>
          <rPr>
            <b/>
            <sz val="9"/>
            <color indexed="81"/>
            <rFont val="Tahoma"/>
            <family val="2"/>
          </rPr>
          <t xml:space="preserve">Note: Forced Constraint for a high proportion of responses that are Negative, Uncertain and/or Skip
</t>
        </r>
      </text>
    </comment>
    <comment ref="Q317" authorId="0" shapeId="0" xr:uid="{00000000-0006-0000-0F00-00001A000000}">
      <text>
        <r>
          <rPr>
            <b/>
            <sz val="9"/>
            <color indexed="81"/>
            <rFont val="Tahoma"/>
            <family val="2"/>
          </rPr>
          <t xml:space="preserve">Note: This is the % of responses that are  Negative, Uncertain and/or Skip
</t>
        </r>
        <r>
          <rPr>
            <sz val="9"/>
            <color indexed="81"/>
            <rFont val="Tahoma"/>
            <family val="2"/>
          </rPr>
          <t xml:space="preserve">
</t>
        </r>
      </text>
    </comment>
    <comment ref="H318" authorId="0" shapeId="0" xr:uid="{00000000-0006-0000-0F00-00001B000000}">
      <text>
        <r>
          <rPr>
            <b/>
            <sz val="9"/>
            <color indexed="81"/>
            <rFont val="Tahoma"/>
            <family val="2"/>
          </rPr>
          <t>Note: This cell is the sum of all non-blank cells from responses below.</t>
        </r>
        <r>
          <rPr>
            <sz val="9"/>
            <color indexed="81"/>
            <rFont val="Tahoma"/>
            <family val="2"/>
          </rPr>
          <t xml:space="preserve">
</t>
        </r>
      </text>
    </comment>
    <comment ref="I318" authorId="0" shapeId="0" xr:uid="{00000000-0006-0000-0F00-00001C000000}">
      <text>
        <r>
          <rPr>
            <b/>
            <sz val="9"/>
            <color indexed="81"/>
            <rFont val="Tahoma"/>
            <family val="2"/>
          </rPr>
          <t>Note: This cell is sum of responses marked N/A below.</t>
        </r>
        <r>
          <rPr>
            <sz val="9"/>
            <color indexed="81"/>
            <rFont val="Tahoma"/>
            <family val="2"/>
          </rPr>
          <t xml:space="preserve">
</t>
        </r>
      </text>
    </comment>
    <comment ref="Q318" authorId="0" shapeId="0" xr:uid="{00000000-0006-0000-0F00-00001D000000}">
      <text>
        <r>
          <rPr>
            <b/>
            <sz val="9"/>
            <color indexed="81"/>
            <rFont val="Tahoma"/>
            <family val="2"/>
          </rPr>
          <t xml:space="preserve">Note: Forced Constraint for a high proportion of responses that are Negative, Uncertain and/or Skip
</t>
        </r>
      </text>
    </comment>
    <comment ref="AE323" authorId="0" shapeId="0" xr:uid="{00000000-0006-0000-0F00-00001E000000}">
      <text>
        <r>
          <rPr>
            <b/>
            <sz val="9"/>
            <color indexed="81"/>
            <rFont val="Tahoma"/>
            <family val="2"/>
          </rPr>
          <t>Author:</t>
        </r>
        <r>
          <rPr>
            <sz val="9"/>
            <color indexed="81"/>
            <rFont val="Tahoma"/>
            <family val="2"/>
          </rPr>
          <t xml:space="preserve">
formula picked from user input sheet for threshold project IRR</t>
        </r>
      </text>
    </comment>
    <comment ref="Q326" authorId="0" shapeId="0" xr:uid="{00000000-0006-0000-0F00-00001F000000}">
      <text>
        <r>
          <rPr>
            <b/>
            <sz val="9"/>
            <color indexed="81"/>
            <rFont val="Tahoma"/>
            <family val="2"/>
          </rPr>
          <t xml:space="preserve">Note: This is the % of responses that are  Negative, Uncertain and/or Skip
</t>
        </r>
        <r>
          <rPr>
            <sz val="9"/>
            <color indexed="81"/>
            <rFont val="Tahoma"/>
            <family val="2"/>
          </rPr>
          <t xml:space="preserve">
</t>
        </r>
      </text>
    </comment>
    <comment ref="H327" authorId="0" shapeId="0" xr:uid="{00000000-0006-0000-0F00-000020000000}">
      <text>
        <r>
          <rPr>
            <b/>
            <sz val="9"/>
            <color indexed="81"/>
            <rFont val="Tahoma"/>
            <family val="2"/>
          </rPr>
          <t>Note: This cell is the sum of all non-blank cells from responses below.</t>
        </r>
        <r>
          <rPr>
            <sz val="9"/>
            <color indexed="81"/>
            <rFont val="Tahoma"/>
            <family val="2"/>
          </rPr>
          <t xml:space="preserve">
</t>
        </r>
      </text>
    </comment>
    <comment ref="I327" authorId="0" shapeId="0" xr:uid="{00000000-0006-0000-0F00-000021000000}">
      <text>
        <r>
          <rPr>
            <b/>
            <sz val="9"/>
            <color indexed="81"/>
            <rFont val="Tahoma"/>
            <family val="2"/>
          </rPr>
          <t>Note: This cell is sum of responses marked N/A below.</t>
        </r>
        <r>
          <rPr>
            <sz val="9"/>
            <color indexed="81"/>
            <rFont val="Tahoma"/>
            <family val="2"/>
          </rPr>
          <t xml:space="preserve">
</t>
        </r>
      </text>
    </comment>
    <comment ref="Q327" authorId="0" shapeId="0" xr:uid="{00000000-0006-0000-0F00-000022000000}">
      <text>
        <r>
          <rPr>
            <b/>
            <sz val="9"/>
            <color indexed="81"/>
            <rFont val="Tahoma"/>
            <family val="2"/>
          </rPr>
          <t xml:space="preserve">Note: Forced Constraint for a high proportion of responses that are Negative, Uncertain and/or Skip
</t>
        </r>
      </text>
    </comment>
    <comment ref="AE329" authorId="0" shapeId="0" xr:uid="{00000000-0006-0000-0F00-000023000000}">
      <text>
        <r>
          <rPr>
            <b/>
            <sz val="9"/>
            <color indexed="81"/>
            <rFont val="Tahoma"/>
            <family val="2"/>
          </rPr>
          <t>Author:</t>
        </r>
        <r>
          <rPr>
            <sz val="9"/>
            <color indexed="81"/>
            <rFont val="Tahoma"/>
            <family val="2"/>
          </rPr>
          <t xml:space="preserve">
formula picked from user input sheet for threshold project IRR</t>
        </r>
      </text>
    </comment>
    <comment ref="Q330" authorId="0" shapeId="0" xr:uid="{00000000-0006-0000-0F00-000024000000}">
      <text>
        <r>
          <rPr>
            <b/>
            <sz val="9"/>
            <color indexed="81"/>
            <rFont val="Tahoma"/>
            <family val="2"/>
          </rPr>
          <t xml:space="preserve">Note: This is the % of responses that are  Negative, Uncertain and/or Skip
</t>
        </r>
        <r>
          <rPr>
            <sz val="9"/>
            <color indexed="81"/>
            <rFont val="Tahoma"/>
            <family val="2"/>
          </rPr>
          <t xml:space="preserve">
</t>
        </r>
      </text>
    </comment>
    <comment ref="Q332" authorId="0" shapeId="0" xr:uid="{00000000-0006-0000-0F00-000025000000}">
      <text>
        <r>
          <rPr>
            <b/>
            <sz val="9"/>
            <color indexed="81"/>
            <rFont val="Tahoma"/>
            <family val="2"/>
          </rPr>
          <t xml:space="preserve">Note: This is the % of responses that are  Negative, Uncertain and/or Skip
</t>
        </r>
        <r>
          <rPr>
            <sz val="9"/>
            <color indexed="81"/>
            <rFont val="Tahoma"/>
            <family val="2"/>
          </rPr>
          <t xml:space="preserve">
</t>
        </r>
      </text>
    </comment>
    <comment ref="H333" authorId="0" shapeId="0" xr:uid="{00000000-0006-0000-0F00-000026000000}">
      <text>
        <r>
          <rPr>
            <b/>
            <sz val="9"/>
            <color indexed="81"/>
            <rFont val="Tahoma"/>
            <family val="2"/>
          </rPr>
          <t>Note: This cell is the sum of all non-blank cells from responses below.</t>
        </r>
        <r>
          <rPr>
            <sz val="9"/>
            <color indexed="81"/>
            <rFont val="Tahoma"/>
            <family val="2"/>
          </rPr>
          <t xml:space="preserve">
</t>
        </r>
      </text>
    </comment>
    <comment ref="I333" authorId="0" shapeId="0" xr:uid="{00000000-0006-0000-0F00-000027000000}">
      <text>
        <r>
          <rPr>
            <b/>
            <sz val="9"/>
            <color indexed="81"/>
            <rFont val="Tahoma"/>
            <family val="2"/>
          </rPr>
          <t>Note: This cell is sum of responses marked N/A below.</t>
        </r>
        <r>
          <rPr>
            <sz val="9"/>
            <color indexed="81"/>
            <rFont val="Tahoma"/>
            <family val="2"/>
          </rPr>
          <t xml:space="preserve">
</t>
        </r>
      </text>
    </comment>
    <comment ref="Q333" authorId="0" shapeId="0" xr:uid="{00000000-0006-0000-0F00-000028000000}">
      <text>
        <r>
          <rPr>
            <b/>
            <sz val="9"/>
            <color indexed="81"/>
            <rFont val="Tahoma"/>
            <family val="2"/>
          </rPr>
          <t xml:space="preserve">Note: Forced Constraint for a high proportion of responses that are Negative, Uncertain and/or Skip
</t>
        </r>
      </text>
    </comment>
    <comment ref="Q341" authorId="0" shapeId="0" xr:uid="{00000000-0006-0000-0F00-000029000000}">
      <text>
        <r>
          <rPr>
            <b/>
            <sz val="9"/>
            <color indexed="81"/>
            <rFont val="Tahoma"/>
            <family val="2"/>
          </rPr>
          <t xml:space="preserve">Note: This is the % of responses that are  Negative, Uncertain and/or Skip
</t>
        </r>
        <r>
          <rPr>
            <sz val="9"/>
            <color indexed="81"/>
            <rFont val="Tahoma"/>
            <family val="2"/>
          </rPr>
          <t xml:space="preserve">
</t>
        </r>
      </text>
    </comment>
    <comment ref="Q343" authorId="0" shapeId="0" xr:uid="{00000000-0006-0000-0F00-00002A000000}">
      <text>
        <r>
          <rPr>
            <b/>
            <sz val="9"/>
            <color indexed="81"/>
            <rFont val="Tahoma"/>
            <family val="2"/>
          </rPr>
          <t xml:space="preserve">Note: This is the % of responses that are  Negative, Uncertain and/or Skip
</t>
        </r>
        <r>
          <rPr>
            <sz val="9"/>
            <color indexed="81"/>
            <rFont val="Tahoma"/>
            <family val="2"/>
          </rPr>
          <t xml:space="preserve">
</t>
        </r>
      </text>
    </comment>
    <comment ref="H344" authorId="0" shapeId="0" xr:uid="{00000000-0006-0000-0F00-00002B000000}">
      <text>
        <r>
          <rPr>
            <b/>
            <sz val="9"/>
            <color indexed="81"/>
            <rFont val="Tahoma"/>
            <family val="2"/>
          </rPr>
          <t>Note: This cell is the sum of all non-blank cells from responses below.</t>
        </r>
        <r>
          <rPr>
            <sz val="9"/>
            <color indexed="81"/>
            <rFont val="Tahoma"/>
            <family val="2"/>
          </rPr>
          <t xml:space="preserve">
</t>
        </r>
      </text>
    </comment>
    <comment ref="I344" authorId="0" shapeId="0" xr:uid="{00000000-0006-0000-0F00-00002C000000}">
      <text>
        <r>
          <rPr>
            <b/>
            <sz val="9"/>
            <color indexed="81"/>
            <rFont val="Tahoma"/>
            <family val="2"/>
          </rPr>
          <t>Note: This cell is sum of responses marked N/A below.</t>
        </r>
        <r>
          <rPr>
            <sz val="9"/>
            <color indexed="81"/>
            <rFont val="Tahoma"/>
            <family val="2"/>
          </rPr>
          <t xml:space="preserve">
</t>
        </r>
      </text>
    </comment>
    <comment ref="Q344" authorId="0" shapeId="0" xr:uid="{00000000-0006-0000-0F00-00002D000000}">
      <text>
        <r>
          <rPr>
            <b/>
            <sz val="9"/>
            <color indexed="81"/>
            <rFont val="Tahoma"/>
            <family val="2"/>
          </rPr>
          <t xml:space="preserve">Note: Forced Constraint for a high proportion of responses that are Negative, Uncertain and/or Skip
</t>
        </r>
      </text>
    </comment>
    <comment ref="AF344" authorId="0" shapeId="0" xr:uid="{00000000-0006-0000-0F00-00002E000000}">
      <text>
        <r>
          <rPr>
            <b/>
            <sz val="9"/>
            <color indexed="81"/>
            <rFont val="Tahoma"/>
            <family val="2"/>
          </rPr>
          <t>Author:</t>
        </r>
        <r>
          <rPr>
            <sz val="9"/>
            <color indexed="81"/>
            <rFont val="Tahoma"/>
            <family val="2"/>
          </rPr>
          <t xml:space="preserve">
Taken geometric mean of Financial Feasibility Complexity and Fiscal Affordability. So stand alone viable projects will get a notch up, while those that become viable only after govt support would get a notch down.</t>
        </r>
      </text>
    </comment>
    <comment ref="Q347" authorId="0" shapeId="0" xr:uid="{00000000-0006-0000-0F00-00002F000000}">
      <text>
        <r>
          <rPr>
            <b/>
            <sz val="9"/>
            <color indexed="81"/>
            <rFont val="Tahoma"/>
            <family val="2"/>
          </rPr>
          <t xml:space="preserve">Note: This is the % of responses that are  Negative, Uncertain and/or Skip
</t>
        </r>
        <r>
          <rPr>
            <sz val="9"/>
            <color indexed="81"/>
            <rFont val="Tahoma"/>
            <family val="2"/>
          </rPr>
          <t xml:space="preserve">
</t>
        </r>
      </text>
    </comment>
    <comment ref="Q349" authorId="0" shapeId="0" xr:uid="{00000000-0006-0000-0F00-000030000000}">
      <text>
        <r>
          <rPr>
            <b/>
            <sz val="9"/>
            <color indexed="81"/>
            <rFont val="Tahoma"/>
            <family val="2"/>
          </rPr>
          <t xml:space="preserve">Note: This is the % of responses that are  Negative, Uncertain and/or Skip
</t>
        </r>
        <r>
          <rPr>
            <sz val="9"/>
            <color indexed="81"/>
            <rFont val="Tahoma"/>
            <family val="2"/>
          </rPr>
          <t xml:space="preserve">
</t>
        </r>
      </text>
    </comment>
    <comment ref="Q350" authorId="0" shapeId="0" xr:uid="{00000000-0006-0000-0F00-000031000000}">
      <text>
        <r>
          <rPr>
            <b/>
            <sz val="9"/>
            <color indexed="81"/>
            <rFont val="Tahoma"/>
            <family val="2"/>
          </rPr>
          <t xml:space="preserve">Note: This is the % of responses that are  Negative, Uncertain and/or Skip
</t>
        </r>
        <r>
          <rPr>
            <sz val="9"/>
            <color indexed="81"/>
            <rFont val="Tahoma"/>
            <family val="2"/>
          </rPr>
          <t xml:space="preserve">
</t>
        </r>
      </text>
    </comment>
    <comment ref="H356" authorId="0" shapeId="0" xr:uid="{00000000-0006-0000-0F00-000032000000}">
      <text>
        <r>
          <rPr>
            <b/>
            <sz val="9"/>
            <color indexed="81"/>
            <rFont val="Tahoma"/>
            <family val="2"/>
          </rPr>
          <t>Note: This cell is the sum of all non-blank cells from responses below.</t>
        </r>
        <r>
          <rPr>
            <sz val="9"/>
            <color indexed="81"/>
            <rFont val="Tahoma"/>
            <family val="2"/>
          </rPr>
          <t xml:space="preserve">
</t>
        </r>
      </text>
    </comment>
    <comment ref="I356" authorId="0" shapeId="0" xr:uid="{00000000-0006-0000-0F00-000033000000}">
      <text>
        <r>
          <rPr>
            <b/>
            <sz val="9"/>
            <color indexed="81"/>
            <rFont val="Tahoma"/>
            <family val="2"/>
          </rPr>
          <t>Note: This cell is sum of responses marked N/A below.</t>
        </r>
        <r>
          <rPr>
            <sz val="9"/>
            <color indexed="81"/>
            <rFont val="Tahoma"/>
            <family val="2"/>
          </rPr>
          <t xml:space="preserve">
</t>
        </r>
      </text>
    </comment>
    <comment ref="Q356" authorId="0" shapeId="0" xr:uid="{00000000-0006-0000-0F00-000034000000}">
      <text>
        <r>
          <rPr>
            <b/>
            <sz val="9"/>
            <color indexed="81"/>
            <rFont val="Tahoma"/>
            <family val="2"/>
          </rPr>
          <t xml:space="preserve">Note: Forced Constraint for a high proportion of responses that are Negative, Uncertain and/or Skip
</t>
        </r>
      </text>
    </comment>
    <comment ref="Q364" authorId="0" shapeId="0" xr:uid="{00000000-0006-0000-0F00-000035000000}">
      <text>
        <r>
          <rPr>
            <b/>
            <sz val="9"/>
            <color indexed="81"/>
            <rFont val="Tahoma"/>
            <family val="2"/>
          </rPr>
          <t xml:space="preserve">Note: This is the % of responses that are  Negative, Uncertain and/or Skip
</t>
        </r>
        <r>
          <rPr>
            <sz val="9"/>
            <color indexed="81"/>
            <rFont val="Tahoma"/>
            <family val="2"/>
          </rPr>
          <t xml:space="preserve">
</t>
        </r>
      </text>
    </comment>
    <comment ref="H365" authorId="0" shapeId="0" xr:uid="{00000000-0006-0000-0F00-000036000000}">
      <text>
        <r>
          <rPr>
            <b/>
            <sz val="9"/>
            <color indexed="81"/>
            <rFont val="Tahoma"/>
            <family val="2"/>
          </rPr>
          <t>Note: This cell is the sum of all non-blank cells from responses below.</t>
        </r>
        <r>
          <rPr>
            <sz val="9"/>
            <color indexed="81"/>
            <rFont val="Tahoma"/>
            <family val="2"/>
          </rPr>
          <t xml:space="preserve">
</t>
        </r>
      </text>
    </comment>
    <comment ref="I365" authorId="0" shapeId="0" xr:uid="{00000000-0006-0000-0F00-000037000000}">
      <text>
        <r>
          <rPr>
            <b/>
            <sz val="9"/>
            <color indexed="81"/>
            <rFont val="Tahoma"/>
            <family val="2"/>
          </rPr>
          <t>Note: This cell is sum of responses marked N/A below.</t>
        </r>
        <r>
          <rPr>
            <sz val="9"/>
            <color indexed="81"/>
            <rFont val="Tahoma"/>
            <family val="2"/>
          </rPr>
          <t xml:space="preserve">
</t>
        </r>
      </text>
    </comment>
    <comment ref="Q365" authorId="0" shapeId="0" xr:uid="{00000000-0006-0000-0F00-000038000000}">
      <text>
        <r>
          <rPr>
            <b/>
            <sz val="9"/>
            <color indexed="81"/>
            <rFont val="Tahoma"/>
            <family val="2"/>
          </rPr>
          <t xml:space="preserve">Note: Forced Constraint for a high proportion of responses that are Negative, Uncertain and/or Skip
</t>
        </r>
      </text>
    </comment>
    <comment ref="BA365" authorId="0" shapeId="0" xr:uid="{00000000-0006-0000-0F00-000039000000}">
      <text>
        <r>
          <rPr>
            <b/>
            <sz val="9"/>
            <color indexed="81"/>
            <rFont val="Tahoma"/>
            <family val="2"/>
          </rPr>
          <t>Note:This forced score will apply on the overall Risk Assessment parameter</t>
        </r>
        <r>
          <rPr>
            <sz val="9"/>
            <color indexed="81"/>
            <rFont val="Tahoma"/>
            <family val="2"/>
          </rPr>
          <t xml:space="preserve">
</t>
        </r>
      </text>
    </comment>
    <comment ref="Q368" authorId="0" shapeId="0" xr:uid="{00000000-0006-0000-0F00-00003A000000}">
      <text>
        <r>
          <rPr>
            <b/>
            <sz val="9"/>
            <color indexed="81"/>
            <rFont val="Tahoma"/>
            <family val="2"/>
          </rPr>
          <t xml:space="preserve">Note: This is the % of responses that are  Negative, Uncertain and/or Skip
</t>
        </r>
        <r>
          <rPr>
            <sz val="9"/>
            <color indexed="81"/>
            <rFont val="Tahoma"/>
            <family val="2"/>
          </rPr>
          <t xml:space="preserve">
</t>
        </r>
      </text>
    </comment>
    <comment ref="Q370" authorId="0" shapeId="0" xr:uid="{00000000-0006-0000-0F00-00003B000000}">
      <text>
        <r>
          <rPr>
            <b/>
            <sz val="9"/>
            <color indexed="81"/>
            <rFont val="Tahoma"/>
            <family val="2"/>
          </rPr>
          <t xml:space="preserve">Note: This is the % of responses that are  Negative, Uncertain and/or Skip
</t>
        </r>
        <r>
          <rPr>
            <sz val="9"/>
            <color indexed="81"/>
            <rFont val="Tahoma"/>
            <family val="2"/>
          </rPr>
          <t xml:space="preserve">
</t>
        </r>
      </text>
    </comment>
    <comment ref="H371" authorId="0" shapeId="0" xr:uid="{00000000-0006-0000-0F00-00003C000000}">
      <text>
        <r>
          <rPr>
            <b/>
            <sz val="9"/>
            <color indexed="81"/>
            <rFont val="Tahoma"/>
            <family val="2"/>
          </rPr>
          <t>Note: This cell is the sum of all non-blank cells from responses below.</t>
        </r>
        <r>
          <rPr>
            <sz val="9"/>
            <color indexed="81"/>
            <rFont val="Tahoma"/>
            <family val="2"/>
          </rPr>
          <t xml:space="preserve">
</t>
        </r>
      </text>
    </comment>
    <comment ref="I371" authorId="0" shapeId="0" xr:uid="{00000000-0006-0000-0F00-00003D000000}">
      <text>
        <r>
          <rPr>
            <b/>
            <sz val="9"/>
            <color indexed="81"/>
            <rFont val="Tahoma"/>
            <family val="2"/>
          </rPr>
          <t>Note: This cell is sum of responses marked N/A below.</t>
        </r>
        <r>
          <rPr>
            <sz val="9"/>
            <color indexed="81"/>
            <rFont val="Tahoma"/>
            <family val="2"/>
          </rPr>
          <t xml:space="preserve">
</t>
        </r>
      </text>
    </comment>
    <comment ref="Q371" authorId="0" shapeId="0" xr:uid="{00000000-0006-0000-0F00-00003E000000}">
      <text>
        <r>
          <rPr>
            <b/>
            <sz val="9"/>
            <color indexed="81"/>
            <rFont val="Tahoma"/>
            <family val="2"/>
          </rPr>
          <t xml:space="preserve">Note: Forced Constraint for a high proportion of responses that are Negative, Uncertain and/or Skip
</t>
        </r>
      </text>
    </comment>
    <comment ref="Q378" authorId="0" shapeId="0" xr:uid="{00000000-0006-0000-0F00-00003F000000}">
      <text>
        <r>
          <rPr>
            <b/>
            <sz val="9"/>
            <color indexed="81"/>
            <rFont val="Tahoma"/>
            <family val="2"/>
          </rPr>
          <t xml:space="preserve">Note: This is the % of responses that are  Negative, Uncertain and/or Skip
</t>
        </r>
        <r>
          <rPr>
            <sz val="9"/>
            <color indexed="81"/>
            <rFont val="Tahoma"/>
            <family val="2"/>
          </rPr>
          <t xml:space="preserve">
</t>
        </r>
      </text>
    </comment>
    <comment ref="H379" authorId="0" shapeId="0" xr:uid="{00000000-0006-0000-0F00-000040000000}">
      <text>
        <r>
          <rPr>
            <b/>
            <sz val="9"/>
            <color indexed="81"/>
            <rFont val="Tahoma"/>
            <family val="2"/>
          </rPr>
          <t>Note: This cell is the sum of all non-blank cells from responses below.</t>
        </r>
        <r>
          <rPr>
            <sz val="9"/>
            <color indexed="81"/>
            <rFont val="Tahoma"/>
            <family val="2"/>
          </rPr>
          <t xml:space="preserve">
</t>
        </r>
      </text>
    </comment>
    <comment ref="I379" authorId="0" shapeId="0" xr:uid="{00000000-0006-0000-0F00-000041000000}">
      <text>
        <r>
          <rPr>
            <b/>
            <sz val="9"/>
            <color indexed="81"/>
            <rFont val="Tahoma"/>
            <family val="2"/>
          </rPr>
          <t>Note: This cell is sum of responses marked N/A below.</t>
        </r>
        <r>
          <rPr>
            <sz val="9"/>
            <color indexed="81"/>
            <rFont val="Tahoma"/>
            <family val="2"/>
          </rPr>
          <t xml:space="preserve">
</t>
        </r>
      </text>
    </comment>
    <comment ref="Q379" authorId="0" shapeId="0" xr:uid="{00000000-0006-0000-0F00-000042000000}">
      <text>
        <r>
          <rPr>
            <b/>
            <sz val="9"/>
            <color indexed="81"/>
            <rFont val="Tahoma"/>
            <family val="2"/>
          </rPr>
          <t xml:space="preserve">Note: Forced Constraint for a high proportion of responses that are Negative, Uncertain and/or Skip
</t>
        </r>
      </text>
    </comment>
    <comment ref="Q382" authorId="0" shapeId="0" xr:uid="{00000000-0006-0000-0F00-000043000000}">
      <text>
        <r>
          <rPr>
            <b/>
            <sz val="9"/>
            <color indexed="81"/>
            <rFont val="Tahoma"/>
            <family val="2"/>
          </rPr>
          <t xml:space="preserve">Note: This is the % of responses that are  Negative, Uncertain and/or Skip
</t>
        </r>
        <r>
          <rPr>
            <sz val="9"/>
            <color indexed="81"/>
            <rFont val="Tahoma"/>
            <family val="2"/>
          </rPr>
          <t xml:space="preserve">
</t>
        </r>
      </text>
    </comment>
    <comment ref="Q383" authorId="0" shapeId="0" xr:uid="{00000000-0006-0000-0F00-000044000000}">
      <text>
        <r>
          <rPr>
            <b/>
            <sz val="9"/>
            <color indexed="81"/>
            <rFont val="Tahoma"/>
            <family val="2"/>
          </rPr>
          <t xml:space="preserve">Note: This is the % of responses that are  Negative, Uncertain and/or Skip
</t>
        </r>
        <r>
          <rPr>
            <sz val="9"/>
            <color indexed="81"/>
            <rFont val="Tahoma"/>
            <family val="2"/>
          </rPr>
          <t xml:space="preserve">
</t>
        </r>
      </text>
    </comment>
    <comment ref="H384" authorId="0" shapeId="0" xr:uid="{00000000-0006-0000-0F00-000045000000}">
      <text>
        <r>
          <rPr>
            <b/>
            <sz val="9"/>
            <color indexed="81"/>
            <rFont val="Tahoma"/>
            <family val="2"/>
          </rPr>
          <t>Note: This cell is the sum of all non-blank cells from responses below.</t>
        </r>
        <r>
          <rPr>
            <sz val="9"/>
            <color indexed="81"/>
            <rFont val="Tahoma"/>
            <family val="2"/>
          </rPr>
          <t xml:space="preserve">
</t>
        </r>
      </text>
    </comment>
    <comment ref="I384" authorId="0" shapeId="0" xr:uid="{00000000-0006-0000-0F00-000046000000}">
      <text>
        <r>
          <rPr>
            <b/>
            <sz val="9"/>
            <color indexed="81"/>
            <rFont val="Tahoma"/>
            <family val="2"/>
          </rPr>
          <t>Note: This cell is sum of responses marked N/A below.</t>
        </r>
        <r>
          <rPr>
            <sz val="9"/>
            <color indexed="81"/>
            <rFont val="Tahoma"/>
            <family val="2"/>
          </rPr>
          <t xml:space="preserve">
</t>
        </r>
      </text>
    </comment>
    <comment ref="Q384" authorId="0" shapeId="0" xr:uid="{00000000-0006-0000-0F00-000047000000}">
      <text>
        <r>
          <rPr>
            <b/>
            <sz val="9"/>
            <color indexed="81"/>
            <rFont val="Tahoma"/>
            <family val="2"/>
          </rPr>
          <t xml:space="preserve">Note: Forced Constraint for a high proportion of responses that are Negative, Uncertain and/or Skip
</t>
        </r>
      </text>
    </comment>
    <comment ref="AB384" authorId="0" shapeId="0" xr:uid="{00000000-0006-0000-0F00-000048000000}">
      <text>
        <r>
          <rPr>
            <b/>
            <sz val="9"/>
            <color indexed="81"/>
            <rFont val="Tahoma"/>
            <family val="2"/>
          </rPr>
          <t>Note: Applicable in case Extent of Land Acquisition is Uncertain</t>
        </r>
        <r>
          <rPr>
            <sz val="9"/>
            <color indexed="81"/>
            <rFont val="Tahoma"/>
            <family val="2"/>
          </rPr>
          <t xml:space="preserve">
</t>
        </r>
      </text>
    </comment>
    <comment ref="Q391" authorId="0" shapeId="0" xr:uid="{00000000-0006-0000-0F00-000049000000}">
      <text>
        <r>
          <rPr>
            <b/>
            <sz val="9"/>
            <color indexed="81"/>
            <rFont val="Tahoma"/>
            <family val="2"/>
          </rPr>
          <t xml:space="preserve">Note: This is the % of responses that are  Negative, Uncertain and/or Skip
</t>
        </r>
        <r>
          <rPr>
            <sz val="9"/>
            <color indexed="81"/>
            <rFont val="Tahoma"/>
            <family val="2"/>
          </rPr>
          <t xml:space="preserve">
</t>
        </r>
      </text>
    </comment>
    <comment ref="H392" authorId="0" shapeId="0" xr:uid="{00000000-0006-0000-0F00-00004A000000}">
      <text>
        <r>
          <rPr>
            <b/>
            <sz val="9"/>
            <color indexed="81"/>
            <rFont val="Tahoma"/>
            <family val="2"/>
          </rPr>
          <t>Note: This cell is the sum of all non-blank cells from responses below.</t>
        </r>
        <r>
          <rPr>
            <sz val="9"/>
            <color indexed="81"/>
            <rFont val="Tahoma"/>
            <family val="2"/>
          </rPr>
          <t xml:space="preserve">
</t>
        </r>
      </text>
    </comment>
    <comment ref="I392" authorId="0" shapeId="0" xr:uid="{00000000-0006-0000-0F00-00004B000000}">
      <text>
        <r>
          <rPr>
            <b/>
            <sz val="9"/>
            <color indexed="81"/>
            <rFont val="Tahoma"/>
            <family val="2"/>
          </rPr>
          <t>Note: This cell is sum of responses marked N/A below.</t>
        </r>
        <r>
          <rPr>
            <sz val="9"/>
            <color indexed="81"/>
            <rFont val="Tahoma"/>
            <family val="2"/>
          </rPr>
          <t xml:space="preserve">
</t>
        </r>
      </text>
    </comment>
    <comment ref="Q392" authorId="0" shapeId="0" xr:uid="{00000000-0006-0000-0F00-00004C000000}">
      <text>
        <r>
          <rPr>
            <b/>
            <sz val="9"/>
            <color indexed="81"/>
            <rFont val="Tahoma"/>
            <family val="2"/>
          </rPr>
          <t xml:space="preserve">Note: Forced Constraint for a high proportion of responses that are Negative, Uncertain and/or Skip
</t>
        </r>
      </text>
    </comment>
    <comment ref="AD393" authorId="0" shapeId="0" xr:uid="{00000000-0006-0000-0F00-00004D000000}">
      <text>
        <r>
          <rPr>
            <b/>
            <sz val="9"/>
            <color indexed="81"/>
            <rFont val="Tahoma"/>
            <family val="2"/>
          </rPr>
          <t>Note: Applicable in case Land Onwers is Uncertain</t>
        </r>
        <r>
          <rPr>
            <sz val="9"/>
            <color indexed="81"/>
            <rFont val="Tahoma"/>
            <family val="2"/>
          </rPr>
          <t xml:space="preserve">
</t>
        </r>
      </text>
    </comment>
    <comment ref="Q395" authorId="0" shapeId="0" xr:uid="{00000000-0006-0000-0F00-00004E000000}">
      <text>
        <r>
          <rPr>
            <b/>
            <sz val="9"/>
            <color indexed="81"/>
            <rFont val="Tahoma"/>
            <family val="2"/>
          </rPr>
          <t xml:space="preserve">Note: This is the % of responses that are  Negative, Uncertain and/or Skip
</t>
        </r>
        <r>
          <rPr>
            <sz val="9"/>
            <color indexed="81"/>
            <rFont val="Tahoma"/>
            <family val="2"/>
          </rPr>
          <t xml:space="preserve">
</t>
        </r>
      </text>
    </comment>
    <comment ref="Q397" authorId="0" shapeId="0" xr:uid="{00000000-0006-0000-0F00-00004F000000}">
      <text>
        <r>
          <rPr>
            <b/>
            <sz val="9"/>
            <color indexed="81"/>
            <rFont val="Tahoma"/>
            <family val="2"/>
          </rPr>
          <t xml:space="preserve">Note: This is the % of responses that are  Negative, Uncertain and/or Skip
</t>
        </r>
        <r>
          <rPr>
            <sz val="9"/>
            <color indexed="81"/>
            <rFont val="Tahoma"/>
            <family val="2"/>
          </rPr>
          <t xml:space="preserve">
</t>
        </r>
      </text>
    </comment>
    <comment ref="H398" authorId="0" shapeId="0" xr:uid="{00000000-0006-0000-0F00-000050000000}">
      <text>
        <r>
          <rPr>
            <b/>
            <sz val="9"/>
            <color indexed="81"/>
            <rFont val="Tahoma"/>
            <family val="2"/>
          </rPr>
          <t>Note: This cell is the sum of all non-blank cells from responses below.</t>
        </r>
        <r>
          <rPr>
            <sz val="9"/>
            <color indexed="81"/>
            <rFont val="Tahoma"/>
            <family val="2"/>
          </rPr>
          <t xml:space="preserve">
</t>
        </r>
      </text>
    </comment>
    <comment ref="I398" authorId="0" shapeId="0" xr:uid="{00000000-0006-0000-0F00-000051000000}">
      <text>
        <r>
          <rPr>
            <b/>
            <sz val="9"/>
            <color indexed="81"/>
            <rFont val="Tahoma"/>
            <family val="2"/>
          </rPr>
          <t>Note: This cell is sum of responses marked N/A below.</t>
        </r>
        <r>
          <rPr>
            <sz val="9"/>
            <color indexed="81"/>
            <rFont val="Tahoma"/>
            <family val="2"/>
          </rPr>
          <t xml:space="preserve">
</t>
        </r>
      </text>
    </comment>
    <comment ref="Q398" authorId="0" shapeId="0" xr:uid="{00000000-0006-0000-0F00-000052000000}">
      <text>
        <r>
          <rPr>
            <b/>
            <sz val="9"/>
            <color indexed="81"/>
            <rFont val="Tahoma"/>
            <family val="2"/>
          </rPr>
          <t xml:space="preserve">Note: Forced Constraint for a high proportion of responses that are Negative, Uncertain and/or Skip
</t>
        </r>
      </text>
    </comment>
    <comment ref="Q401" authorId="0" shapeId="0" xr:uid="{00000000-0006-0000-0F00-000053000000}">
      <text>
        <r>
          <rPr>
            <b/>
            <sz val="9"/>
            <color indexed="81"/>
            <rFont val="Tahoma"/>
            <family val="2"/>
          </rPr>
          <t xml:space="preserve">Note: This is the % of responses that are  Negative, Uncertain and/or Skip
</t>
        </r>
        <r>
          <rPr>
            <sz val="9"/>
            <color indexed="81"/>
            <rFont val="Tahoma"/>
            <family val="2"/>
          </rPr>
          <t xml:space="preserve">
</t>
        </r>
      </text>
    </comment>
    <comment ref="C402" authorId="0" shapeId="0" xr:uid="{00000000-0006-0000-0F00-000054000000}">
      <text>
        <r>
          <rPr>
            <b/>
            <sz val="9"/>
            <color indexed="81"/>
            <rFont val="Tahoma"/>
            <family val="2"/>
          </rPr>
          <t>Note: This question comes from Basic Project Data Sheet and is required to factor the applicability of the sub parameter in the analysis.</t>
        </r>
        <r>
          <rPr>
            <sz val="9"/>
            <color indexed="81"/>
            <rFont val="Tahoma"/>
            <family val="2"/>
          </rPr>
          <t xml:space="preserve">
</t>
        </r>
      </text>
    </comment>
    <comment ref="F402" authorId="0" shapeId="0" xr:uid="{00000000-0006-0000-0F00-000055000000}">
      <text>
        <r>
          <rPr>
            <b/>
            <sz val="9"/>
            <color indexed="81"/>
            <rFont val="Tahoma"/>
            <family val="2"/>
          </rPr>
          <t>Note: This question comes from Basic Project Data Sheet and is required to factor the applicability of the sub parameter in the analysis.</t>
        </r>
        <r>
          <rPr>
            <sz val="9"/>
            <color indexed="81"/>
            <rFont val="Tahoma"/>
            <family val="2"/>
          </rPr>
          <t xml:space="preserve">
</t>
        </r>
      </text>
    </comment>
    <comment ref="Q402" authorId="0" shapeId="0" xr:uid="{00000000-0006-0000-0F00-000056000000}">
      <text>
        <r>
          <rPr>
            <b/>
            <sz val="9"/>
            <color indexed="81"/>
            <rFont val="Tahoma"/>
            <family val="2"/>
          </rPr>
          <t xml:space="preserve">Note: This is the % of responses that are  Negative, Uncertain and/or Skip
</t>
        </r>
        <r>
          <rPr>
            <sz val="9"/>
            <color indexed="81"/>
            <rFont val="Tahoma"/>
            <family val="2"/>
          </rPr>
          <t xml:space="preserve">
</t>
        </r>
      </text>
    </comment>
    <comment ref="H405" authorId="0" shapeId="0" xr:uid="{00000000-0006-0000-0F00-000057000000}">
      <text>
        <r>
          <rPr>
            <b/>
            <sz val="9"/>
            <color indexed="81"/>
            <rFont val="Tahoma"/>
            <family val="2"/>
          </rPr>
          <t>Note: This cell is the sum of all non-blank cells from responses below.</t>
        </r>
        <r>
          <rPr>
            <sz val="9"/>
            <color indexed="81"/>
            <rFont val="Tahoma"/>
            <family val="2"/>
          </rPr>
          <t xml:space="preserve">
</t>
        </r>
      </text>
    </comment>
    <comment ref="I405" authorId="0" shapeId="0" xr:uid="{00000000-0006-0000-0F00-000058000000}">
      <text>
        <r>
          <rPr>
            <b/>
            <sz val="9"/>
            <color indexed="81"/>
            <rFont val="Tahoma"/>
            <family val="2"/>
          </rPr>
          <t>Note: This cell is sum of responses marked N/A below.</t>
        </r>
        <r>
          <rPr>
            <sz val="9"/>
            <color indexed="81"/>
            <rFont val="Tahoma"/>
            <family val="2"/>
          </rPr>
          <t xml:space="preserve">
</t>
        </r>
      </text>
    </comment>
    <comment ref="Q405" authorId="0" shapeId="0" xr:uid="{00000000-0006-0000-0F00-000059000000}">
      <text>
        <r>
          <rPr>
            <b/>
            <sz val="9"/>
            <color indexed="81"/>
            <rFont val="Tahoma"/>
            <family val="2"/>
          </rPr>
          <t xml:space="preserve">Note: Forced Constraint for a high proportion of responses that are Negative, Uncertain and/or Skip
</t>
        </r>
      </text>
    </comment>
    <comment ref="Q413" authorId="0" shapeId="0" xr:uid="{00000000-0006-0000-0F00-00005A000000}">
      <text>
        <r>
          <rPr>
            <b/>
            <sz val="9"/>
            <color indexed="81"/>
            <rFont val="Tahoma"/>
            <family val="2"/>
          </rPr>
          <t xml:space="preserve">Note: This is the % of responses that are  Negative, Uncertain and/or Skip
</t>
        </r>
        <r>
          <rPr>
            <sz val="9"/>
            <color indexed="81"/>
            <rFont val="Tahoma"/>
            <family val="2"/>
          </rPr>
          <t xml:space="preserve">
</t>
        </r>
      </text>
    </comment>
    <comment ref="H419" authorId="0" shapeId="0" xr:uid="{00000000-0006-0000-0F00-00005B000000}">
      <text>
        <r>
          <rPr>
            <b/>
            <sz val="9"/>
            <color indexed="81"/>
            <rFont val="Tahoma"/>
            <family val="2"/>
          </rPr>
          <t>Note: This cell is the sum of all non-blank cells from responses below.</t>
        </r>
        <r>
          <rPr>
            <sz val="9"/>
            <color indexed="81"/>
            <rFont val="Tahoma"/>
            <family val="2"/>
          </rPr>
          <t xml:space="preserve">
</t>
        </r>
      </text>
    </comment>
    <comment ref="I419" authorId="0" shapeId="0" xr:uid="{00000000-0006-0000-0F00-00005C000000}">
      <text>
        <r>
          <rPr>
            <b/>
            <sz val="9"/>
            <color indexed="81"/>
            <rFont val="Tahoma"/>
            <family val="2"/>
          </rPr>
          <t>Note: This cell is sum of responses marked N/A below.</t>
        </r>
        <r>
          <rPr>
            <sz val="9"/>
            <color indexed="81"/>
            <rFont val="Tahoma"/>
            <family val="2"/>
          </rPr>
          <t xml:space="preserve">
</t>
        </r>
      </text>
    </comment>
    <comment ref="Q419" authorId="0" shapeId="0" xr:uid="{00000000-0006-0000-0F00-00005D000000}">
      <text>
        <r>
          <rPr>
            <b/>
            <sz val="9"/>
            <color indexed="81"/>
            <rFont val="Tahoma"/>
            <family val="2"/>
          </rPr>
          <t xml:space="preserve">Note: Forced Constraint for a high proportion of responses that are Negative, Uncertain and/or Skip
</t>
        </r>
      </text>
    </comment>
    <comment ref="Q430" authorId="0" shapeId="0" xr:uid="{00000000-0006-0000-0F00-00005E000000}">
      <text>
        <r>
          <rPr>
            <b/>
            <sz val="9"/>
            <color indexed="81"/>
            <rFont val="Tahoma"/>
            <family val="2"/>
          </rPr>
          <t xml:space="preserve">Note: This is the % of responses that are  Negative, Uncertain and/or Skip
</t>
        </r>
        <r>
          <rPr>
            <sz val="9"/>
            <color indexed="81"/>
            <rFont val="Tahoma"/>
            <family val="2"/>
          </rPr>
          <t xml:space="preserve">
</t>
        </r>
      </text>
    </comment>
    <comment ref="H431" authorId="0" shapeId="0" xr:uid="{00000000-0006-0000-0F00-00005F000000}">
      <text>
        <r>
          <rPr>
            <b/>
            <sz val="9"/>
            <color indexed="81"/>
            <rFont val="Tahoma"/>
            <family val="2"/>
          </rPr>
          <t>Note: This cell is the sum of all non-blank cells from responses below.</t>
        </r>
        <r>
          <rPr>
            <sz val="9"/>
            <color indexed="81"/>
            <rFont val="Tahoma"/>
            <family val="2"/>
          </rPr>
          <t xml:space="preserve">
</t>
        </r>
      </text>
    </comment>
    <comment ref="I431" authorId="0" shapeId="0" xr:uid="{00000000-0006-0000-0F00-000060000000}">
      <text>
        <r>
          <rPr>
            <b/>
            <sz val="9"/>
            <color indexed="81"/>
            <rFont val="Tahoma"/>
            <family val="2"/>
          </rPr>
          <t>Note: This cell is sum of responses marked N/A below.</t>
        </r>
        <r>
          <rPr>
            <sz val="9"/>
            <color indexed="81"/>
            <rFont val="Tahoma"/>
            <family val="2"/>
          </rPr>
          <t xml:space="preserve">
</t>
        </r>
      </text>
    </comment>
    <comment ref="Q431" authorId="0" shapeId="0" xr:uid="{00000000-0006-0000-0F00-000061000000}">
      <text>
        <r>
          <rPr>
            <b/>
            <sz val="9"/>
            <color indexed="81"/>
            <rFont val="Tahoma"/>
            <family val="2"/>
          </rPr>
          <t xml:space="preserve">Note: Forced Constraint for a high proportion of responses that are Negative, Uncertain and/or Skip
</t>
        </r>
      </text>
    </comment>
    <comment ref="Q437" authorId="0" shapeId="0" xr:uid="{00000000-0006-0000-0F00-000062000000}">
      <text>
        <r>
          <rPr>
            <b/>
            <sz val="9"/>
            <color indexed="81"/>
            <rFont val="Tahoma"/>
            <family val="2"/>
          </rPr>
          <t xml:space="preserve">Note: This is the % of responses that are  Negative, Uncertain and/or Skip
</t>
        </r>
        <r>
          <rPr>
            <sz val="9"/>
            <color indexed="81"/>
            <rFont val="Tahoma"/>
            <family val="2"/>
          </rPr>
          <t xml:space="preserve">
</t>
        </r>
      </text>
    </comment>
    <comment ref="H445" authorId="0" shapeId="0" xr:uid="{00000000-0006-0000-0F00-000063000000}">
      <text>
        <r>
          <rPr>
            <b/>
            <sz val="9"/>
            <color indexed="81"/>
            <rFont val="Tahoma"/>
            <family val="2"/>
          </rPr>
          <t>Note: This cell is the sum of all non-blank cells from responses below.</t>
        </r>
        <r>
          <rPr>
            <sz val="9"/>
            <color indexed="81"/>
            <rFont val="Tahoma"/>
            <family val="2"/>
          </rPr>
          <t xml:space="preserve">
</t>
        </r>
      </text>
    </comment>
    <comment ref="I445" authorId="0" shapeId="0" xr:uid="{00000000-0006-0000-0F00-000064000000}">
      <text>
        <r>
          <rPr>
            <b/>
            <sz val="9"/>
            <color indexed="81"/>
            <rFont val="Tahoma"/>
            <family val="2"/>
          </rPr>
          <t>Note: This cell is sum of responses marked N/A below.</t>
        </r>
        <r>
          <rPr>
            <sz val="9"/>
            <color indexed="81"/>
            <rFont val="Tahoma"/>
            <family val="2"/>
          </rPr>
          <t xml:space="preserve">
</t>
        </r>
      </text>
    </comment>
    <comment ref="Q445" authorId="0" shapeId="0" xr:uid="{00000000-0006-0000-0F00-000065000000}">
      <text>
        <r>
          <rPr>
            <b/>
            <sz val="9"/>
            <color indexed="81"/>
            <rFont val="Tahoma"/>
            <family val="2"/>
          </rPr>
          <t xml:space="preserve">Note: Forced Constraint for a high proportion of responses that are Negative, Uncertain and/or Skip
</t>
        </r>
      </text>
    </comment>
    <comment ref="Q450" authorId="0" shapeId="0" xr:uid="{00000000-0006-0000-0F00-000066000000}">
      <text>
        <r>
          <rPr>
            <b/>
            <sz val="9"/>
            <color indexed="81"/>
            <rFont val="Tahoma"/>
            <family val="2"/>
          </rPr>
          <t xml:space="preserve">Note: This is the % of responses that are  Negative, Uncertain and/or Skip
</t>
        </r>
        <r>
          <rPr>
            <sz val="9"/>
            <color indexed="81"/>
            <rFont val="Tahoma"/>
            <family val="2"/>
          </rPr>
          <t xml:space="preserve">
</t>
        </r>
      </text>
    </comment>
    <comment ref="H451" authorId="0" shapeId="0" xr:uid="{00000000-0006-0000-0F00-000067000000}">
      <text>
        <r>
          <rPr>
            <b/>
            <sz val="9"/>
            <color indexed="81"/>
            <rFont val="Tahoma"/>
            <family val="2"/>
          </rPr>
          <t>Note: This cell is the sum of all non-blank cells from responses below.</t>
        </r>
        <r>
          <rPr>
            <sz val="9"/>
            <color indexed="81"/>
            <rFont val="Tahoma"/>
            <family val="2"/>
          </rPr>
          <t xml:space="preserve">
</t>
        </r>
      </text>
    </comment>
    <comment ref="I451" authorId="0" shapeId="0" xr:uid="{00000000-0006-0000-0F00-000068000000}">
      <text>
        <r>
          <rPr>
            <b/>
            <sz val="9"/>
            <color indexed="81"/>
            <rFont val="Tahoma"/>
            <family val="2"/>
          </rPr>
          <t>Note: This cell is sum of responses marked N/A below.</t>
        </r>
        <r>
          <rPr>
            <sz val="9"/>
            <color indexed="81"/>
            <rFont val="Tahoma"/>
            <family val="2"/>
          </rPr>
          <t xml:space="preserve">
</t>
        </r>
      </text>
    </comment>
    <comment ref="Q451" authorId="0" shapeId="0" xr:uid="{00000000-0006-0000-0F00-000069000000}">
      <text>
        <r>
          <rPr>
            <b/>
            <sz val="9"/>
            <color indexed="81"/>
            <rFont val="Tahoma"/>
            <family val="2"/>
          </rPr>
          <t xml:space="preserve">Note: Forced Constraint for a high proportion of responses that are Negative, Uncertain and/or Skip
</t>
        </r>
      </text>
    </comment>
    <comment ref="Q456" authorId="0" shapeId="0" xr:uid="{00000000-0006-0000-0F00-00006A000000}">
      <text>
        <r>
          <rPr>
            <b/>
            <sz val="9"/>
            <color indexed="81"/>
            <rFont val="Tahoma"/>
            <family val="2"/>
          </rPr>
          <t xml:space="preserve">Note: This is the % of responses that are  Negative, Uncertain and/or Skip
</t>
        </r>
        <r>
          <rPr>
            <sz val="9"/>
            <color indexed="81"/>
            <rFont val="Tahoma"/>
            <family val="2"/>
          </rPr>
          <t xml:space="preserve">
</t>
        </r>
      </text>
    </comment>
    <comment ref="H479" authorId="0" shapeId="0" xr:uid="{00000000-0006-0000-0F00-00006B000000}">
      <text>
        <r>
          <rPr>
            <b/>
            <sz val="9"/>
            <color indexed="81"/>
            <rFont val="Tahoma"/>
            <family val="2"/>
          </rPr>
          <t>Note: This cell is the sum of all non-blank cells from responses below.</t>
        </r>
        <r>
          <rPr>
            <sz val="9"/>
            <color indexed="81"/>
            <rFont val="Tahoma"/>
            <family val="2"/>
          </rPr>
          <t xml:space="preserve">
</t>
        </r>
      </text>
    </comment>
    <comment ref="I479" authorId="0" shapeId="0" xr:uid="{00000000-0006-0000-0F00-00006C000000}">
      <text>
        <r>
          <rPr>
            <b/>
            <sz val="9"/>
            <color indexed="81"/>
            <rFont val="Tahoma"/>
            <family val="2"/>
          </rPr>
          <t>Note: This cell is sum of responses marked N/A below.</t>
        </r>
        <r>
          <rPr>
            <sz val="9"/>
            <color indexed="81"/>
            <rFont val="Tahoma"/>
            <family val="2"/>
          </rPr>
          <t xml:space="preserve">
</t>
        </r>
      </text>
    </comment>
    <comment ref="Q479" authorId="0" shapeId="0" xr:uid="{00000000-0006-0000-0F00-00006D000000}">
      <text>
        <r>
          <rPr>
            <b/>
            <sz val="9"/>
            <color indexed="81"/>
            <rFont val="Tahoma"/>
            <family val="2"/>
          </rPr>
          <t xml:space="preserve">Note: Forced Constraint for a high proportion of responses that are Negative, Uncertain and/or Skip
</t>
        </r>
      </text>
    </comment>
    <comment ref="Q484" authorId="0" shapeId="0" xr:uid="{00000000-0006-0000-0F00-00006E000000}">
      <text>
        <r>
          <rPr>
            <b/>
            <sz val="9"/>
            <color indexed="81"/>
            <rFont val="Tahoma"/>
            <family val="2"/>
          </rPr>
          <t xml:space="preserve">Note: This is the % of responses that are  Negative, Uncertain and/or Skip
</t>
        </r>
        <r>
          <rPr>
            <sz val="9"/>
            <color indexed="81"/>
            <rFont val="Tahoma"/>
            <family val="2"/>
          </rPr>
          <t xml:space="preserve">
</t>
        </r>
      </text>
    </comment>
    <comment ref="H485" authorId="0" shapeId="0" xr:uid="{00000000-0006-0000-0F00-00006F000000}">
      <text>
        <r>
          <rPr>
            <b/>
            <sz val="9"/>
            <color indexed="81"/>
            <rFont val="Tahoma"/>
            <family val="2"/>
          </rPr>
          <t>Note: This cell is the sum of all non-blank cells from responses below.</t>
        </r>
        <r>
          <rPr>
            <sz val="9"/>
            <color indexed="81"/>
            <rFont val="Tahoma"/>
            <family val="2"/>
          </rPr>
          <t xml:space="preserve">
</t>
        </r>
      </text>
    </comment>
    <comment ref="I485" authorId="0" shapeId="0" xr:uid="{00000000-0006-0000-0F00-000070000000}">
      <text>
        <r>
          <rPr>
            <b/>
            <sz val="9"/>
            <color indexed="81"/>
            <rFont val="Tahoma"/>
            <family val="2"/>
          </rPr>
          <t>Note: This cell is sum of responses marked N/A below.</t>
        </r>
        <r>
          <rPr>
            <sz val="9"/>
            <color indexed="81"/>
            <rFont val="Tahoma"/>
            <family val="2"/>
          </rPr>
          <t xml:space="preserve">
</t>
        </r>
      </text>
    </comment>
    <comment ref="Q485" authorId="0" shapeId="0" xr:uid="{00000000-0006-0000-0F00-000071000000}">
      <text>
        <r>
          <rPr>
            <b/>
            <sz val="9"/>
            <color indexed="81"/>
            <rFont val="Tahoma"/>
            <family val="2"/>
          </rPr>
          <t xml:space="preserve">Note: Forced Constraint for a high proportion of responses that are Negative, Uncertain and/or Skip
</t>
        </r>
      </text>
    </comment>
    <comment ref="Q491" authorId="0" shapeId="0" xr:uid="{00000000-0006-0000-0F00-000072000000}">
      <text>
        <r>
          <rPr>
            <b/>
            <sz val="9"/>
            <color indexed="81"/>
            <rFont val="Tahoma"/>
            <family val="2"/>
          </rPr>
          <t xml:space="preserve">Note: This is the % of responses that are  Negative, Uncertain and/or Skip
</t>
        </r>
        <r>
          <rPr>
            <sz val="9"/>
            <color indexed="81"/>
            <rFont val="Tahoma"/>
            <family val="2"/>
          </rPr>
          <t xml:space="preserve">
</t>
        </r>
      </text>
    </comment>
    <comment ref="H492" authorId="0" shapeId="0" xr:uid="{00000000-0006-0000-0F00-000073000000}">
      <text>
        <r>
          <rPr>
            <b/>
            <sz val="9"/>
            <color indexed="81"/>
            <rFont val="Tahoma"/>
            <family val="2"/>
          </rPr>
          <t>Note: This cell is the sum of all non-blank cells from responses below.</t>
        </r>
        <r>
          <rPr>
            <sz val="9"/>
            <color indexed="81"/>
            <rFont val="Tahoma"/>
            <family val="2"/>
          </rPr>
          <t xml:space="preserve">
</t>
        </r>
      </text>
    </comment>
    <comment ref="I492" authorId="0" shapeId="0" xr:uid="{00000000-0006-0000-0F00-000074000000}">
      <text>
        <r>
          <rPr>
            <b/>
            <sz val="9"/>
            <color indexed="81"/>
            <rFont val="Tahoma"/>
            <family val="2"/>
          </rPr>
          <t>Note: This cell is sum of responses marked N/A below.</t>
        </r>
        <r>
          <rPr>
            <sz val="9"/>
            <color indexed="81"/>
            <rFont val="Tahoma"/>
            <family val="2"/>
          </rPr>
          <t xml:space="preserve">
</t>
        </r>
      </text>
    </comment>
    <comment ref="Q492" authorId="0" shapeId="0" xr:uid="{00000000-0006-0000-0F00-000075000000}">
      <text>
        <r>
          <rPr>
            <b/>
            <sz val="9"/>
            <color indexed="81"/>
            <rFont val="Tahoma"/>
            <family val="2"/>
          </rPr>
          <t xml:space="preserve">Note: Forced Constraint for a high proportion of responses that are Negative, Uncertain and/or Skip
</t>
        </r>
      </text>
    </comment>
    <comment ref="Q498" authorId="0" shapeId="0" xr:uid="{00000000-0006-0000-0F00-000076000000}">
      <text>
        <r>
          <rPr>
            <b/>
            <sz val="9"/>
            <color indexed="81"/>
            <rFont val="Tahoma"/>
            <family val="2"/>
          </rPr>
          <t xml:space="preserve">Note: This is the % of responses that are  Negative, Uncertain and/or Skip
</t>
        </r>
        <r>
          <rPr>
            <sz val="9"/>
            <color indexed="81"/>
            <rFont val="Tahoma"/>
            <family val="2"/>
          </rPr>
          <t xml:space="preserve">
</t>
        </r>
      </text>
    </comment>
  </commentList>
</comments>
</file>

<file path=xl/sharedStrings.xml><?xml version="1.0" encoding="utf-8"?>
<sst xmlns="http://schemas.openxmlformats.org/spreadsheetml/2006/main" count="2910" uniqueCount="1054">
  <si>
    <t>Parameter</t>
  </si>
  <si>
    <t>Parameter Score</t>
  </si>
  <si>
    <t>Parameter Weight</t>
  </si>
  <si>
    <t>Weighted Score</t>
  </si>
  <si>
    <t>Project Suitability</t>
  </si>
  <si>
    <t>Project Feasibility</t>
  </si>
  <si>
    <t>Final Score Chart</t>
  </si>
  <si>
    <t>Total</t>
  </si>
  <si>
    <t>Chart</t>
  </si>
  <si>
    <t>Value</t>
  </si>
  <si>
    <t>Pointer</t>
  </si>
  <si>
    <t>End</t>
  </si>
  <si>
    <t>Degree conversion</t>
  </si>
  <si>
    <t>2)</t>
  </si>
  <si>
    <t>1)</t>
  </si>
  <si>
    <t>3)</t>
  </si>
  <si>
    <t>Final Verdict</t>
  </si>
  <si>
    <t>Very Strong</t>
  </si>
  <si>
    <t>Strong</t>
  </si>
  <si>
    <t>Moderately Strong</t>
  </si>
  <si>
    <t>Moderately Adequate</t>
  </si>
  <si>
    <t>Moderately Weak</t>
  </si>
  <si>
    <t>Weak</t>
  </si>
  <si>
    <t>Very Weak</t>
  </si>
  <si>
    <t>Deficient</t>
  </si>
  <si>
    <t>Materially Deficient</t>
  </si>
  <si>
    <t>Adequate</t>
  </si>
  <si>
    <t>Min (&gt;=)</t>
  </si>
  <si>
    <t>Max(&lt;)</t>
  </si>
  <si>
    <t>Verdict</t>
  </si>
  <si>
    <t>Govt’s Fiscal Affordability</t>
  </si>
  <si>
    <t>No.</t>
  </si>
  <si>
    <t>Response</t>
  </si>
  <si>
    <t>A</t>
  </si>
  <si>
    <t>Yes</t>
  </si>
  <si>
    <t>B</t>
  </si>
  <si>
    <t>C</t>
  </si>
  <si>
    <t>D</t>
  </si>
  <si>
    <t>Technical feasibility assessment</t>
  </si>
  <si>
    <t>No</t>
  </si>
  <si>
    <t>E</t>
  </si>
  <si>
    <t>F</t>
  </si>
  <si>
    <t>G</t>
  </si>
  <si>
    <t>H</t>
  </si>
  <si>
    <t>I</t>
  </si>
  <si>
    <t>Market appetite</t>
  </si>
  <si>
    <t>Is there a PPP focal point within the contracting agency?</t>
  </si>
  <si>
    <t>Sub Parameter</t>
  </si>
  <si>
    <t>Overall
 Score</t>
  </si>
  <si>
    <t>Skipped</t>
  </si>
  <si>
    <t>Score</t>
  </si>
  <si>
    <t>Is there a clear articulation and substantiation of the service deficiency?</t>
  </si>
  <si>
    <t>Are the project outputs defined, measurable and verifiable?</t>
  </si>
  <si>
    <t>Does the scoping cover the entire term of the project?</t>
  </si>
  <si>
    <t>Deal Breaker</t>
  </si>
  <si>
    <t>Are the technical cost estimates in line with required output specifications and based on established benchmarks?</t>
  </si>
  <si>
    <t>Alignment with government priorities</t>
  </si>
  <si>
    <t>Identification of service need</t>
  </si>
  <si>
    <t>Assessment of service delivery options</t>
  </si>
  <si>
    <t>Scoping of the project</t>
  </si>
  <si>
    <t>Sub-Parameter Weight</t>
  </si>
  <si>
    <t>Skip</t>
  </si>
  <si>
    <t>Alignment with goverrnment priorities</t>
  </si>
  <si>
    <t>(i)</t>
  </si>
  <si>
    <t>(ii)</t>
  </si>
  <si>
    <t>(iii)</t>
  </si>
  <si>
    <t>(iv)</t>
  </si>
  <si>
    <t>NOTE</t>
  </si>
  <si>
    <t>Example</t>
  </si>
  <si>
    <t>(v)</t>
  </si>
  <si>
    <t>Social Impact Assessment</t>
  </si>
  <si>
    <t>Economic Feasibility Assessment</t>
  </si>
  <si>
    <t>Financial  Feasibility Assessment</t>
  </si>
  <si>
    <t>Legal Feasibility Assessment</t>
  </si>
  <si>
    <t>Are there financiers (nationally or regionally) who will be interested in the PPP?</t>
  </si>
  <si>
    <t>`</t>
  </si>
  <si>
    <t>Administrator Sheet: Detailed Project Selection Tool</t>
  </si>
  <si>
    <t>Reset</t>
  </si>
  <si>
    <t>Choice</t>
  </si>
  <si>
    <t>Uncertain</t>
  </si>
  <si>
    <t>Extent and Nature of Government Fiscal Support</t>
  </si>
  <si>
    <t>In case of direct fiscal commitments, are the expected annual payments within budgetary ceilings?</t>
  </si>
  <si>
    <t>Is the collective impact of fiscal commitments likely to be within acceptable levels and not have a significant adverse impact on government's future budgets or fiscal space?</t>
  </si>
  <si>
    <t xml:space="preserve">Is there a clear strategy to mitigate fiscal risks emerging from the PPP contract ? </t>
  </si>
  <si>
    <t>Quantifiation of Fiscal Support</t>
  </si>
  <si>
    <t>Institutional Capacity</t>
  </si>
  <si>
    <t>Preparedness of the Contracting Agency for the Project</t>
  </si>
  <si>
    <t>Does the project plan incorporate a strategic communications plan to engage with internal and external stakeholders of the project during the next stages of the project?</t>
  </si>
  <si>
    <t>Are there any constraints that could delay the project from getting to the market?</t>
  </si>
  <si>
    <t>Project Execution Capability of the Contracting Agency</t>
  </si>
  <si>
    <t>Value for money assessment</t>
  </si>
  <si>
    <t>Description</t>
  </si>
  <si>
    <t>Is the project derived from a national plan or other medium to long term strategic document that establish economy-wide development priorities at the highest levels of the government?</t>
  </si>
  <si>
    <t>Has there been an assessment of all possible technical solutions to address the identified need?</t>
  </si>
  <si>
    <t>-</t>
  </si>
  <si>
    <t>(vi)</t>
  </si>
  <si>
    <t>(vii)</t>
  </si>
  <si>
    <t>Is the project's scope of work comparable to other reference projects?</t>
  </si>
  <si>
    <t>Are the life cycle costs for major components of the project - reasonable and affordable?</t>
  </si>
  <si>
    <t xml:space="preserve">Is there a reliable initial environmental analysis related to the project? </t>
  </si>
  <si>
    <t xml:space="preserve">Is there a reliable initial social analysis related to the project? </t>
  </si>
  <si>
    <t>The project is likely to be socially sustainable or have manageable social impacts?</t>
  </si>
  <si>
    <t>Is there support for the project from affected communities and other key stakeholders?</t>
  </si>
  <si>
    <t>Risk Assessment</t>
  </si>
  <si>
    <t xml:space="preserve">Operations and Maintenance Risk </t>
  </si>
  <si>
    <t xml:space="preserve">Design and Construction Risk </t>
  </si>
  <si>
    <t>Financing Risk</t>
  </si>
  <si>
    <t>Risk of delay in land acquisition</t>
  </si>
  <si>
    <t xml:space="preserve">Environmental and Social Risk </t>
  </si>
  <si>
    <t>Are the costs of mitigating the environmental and social impacts of the project considered in the PPP?</t>
  </si>
  <si>
    <t>Qualitative assessment of Value for Money</t>
  </si>
  <si>
    <t>Quantitative assessment of Value for Money</t>
  </si>
  <si>
    <t>Is the project eligible for government funding support?</t>
  </si>
  <si>
    <t>Response Options</t>
  </si>
  <si>
    <t>Score for Suitability</t>
  </si>
  <si>
    <t>Comments</t>
  </si>
  <si>
    <t>Percent</t>
  </si>
  <si>
    <t>Threshold Project IRR</t>
  </si>
  <si>
    <t>Land to be acquired</t>
  </si>
  <si>
    <t>Hectares</t>
  </si>
  <si>
    <t>Acres</t>
  </si>
  <si>
    <t>Land Unit</t>
  </si>
  <si>
    <t>Date of Submission:</t>
  </si>
  <si>
    <t>Is the project likely to be economically sound and have direct benefits that are significantly greater than the costs?</t>
  </si>
  <si>
    <t>List of Project Fee Models</t>
  </si>
  <si>
    <t>User charges</t>
  </si>
  <si>
    <t>Availability Payments</t>
  </si>
  <si>
    <t>Sub Parameter Weight</t>
  </si>
  <si>
    <t>Display</t>
  </si>
  <si>
    <t>Scroll Linkage</t>
  </si>
  <si>
    <t>Sub Parameter Score</t>
  </si>
  <si>
    <t>Is the project likely to be financially viable?</t>
  </si>
  <si>
    <t>Is there a plan proposed to identify and manage any unknown or additional legal barriers should they arise?</t>
  </si>
  <si>
    <t>Will there be a strong system of safeguards, incentives and liabilities to manage contractor/sub-contractor/ equipment  supplier performance during O&amp;M?</t>
  </si>
  <si>
    <t>Market or Demand Risk in User Charge PPPs</t>
  </si>
  <si>
    <t xml:space="preserve">Is there a transparent and well-defined process for setting user charges and managing their increase? </t>
  </si>
  <si>
    <t>Payment Risk under Availability Payment PPPs</t>
  </si>
  <si>
    <t>Market and Payment Risk under Hybrid PPPs</t>
  </si>
  <si>
    <t>Is there a credible environmental and social impact analysis of the PPP?</t>
  </si>
  <si>
    <t>S</t>
  </si>
  <si>
    <t>PA</t>
  </si>
  <si>
    <t xml:space="preserve">Operations and Maintenance </t>
  </si>
  <si>
    <t>Construction</t>
  </si>
  <si>
    <t>Hybrid Payments</t>
  </si>
  <si>
    <t>User Charges</t>
  </si>
  <si>
    <t>GS</t>
  </si>
  <si>
    <t>FFF</t>
  </si>
  <si>
    <t>Score for Feasibility</t>
  </si>
  <si>
    <t>Does the contracting agency have the capacity to manage the PPP project preparation and procurement processes?</t>
  </si>
  <si>
    <t>Does the contracting agency or its key personnel have previous experience with PPPs?</t>
  </si>
  <si>
    <t>Project Preparation Capability of the Contracting Agency</t>
  </si>
  <si>
    <t>IA</t>
  </si>
  <si>
    <t>User input</t>
  </si>
  <si>
    <t>Lookup</t>
  </si>
  <si>
    <t>Array</t>
  </si>
  <si>
    <t>Questions to be displayed</t>
  </si>
  <si>
    <t>Will the project be financially viable?</t>
  </si>
  <si>
    <t>FA</t>
  </si>
  <si>
    <t>Public Sector</t>
  </si>
  <si>
    <t>Private Sector</t>
  </si>
  <si>
    <t>N/A</t>
  </si>
  <si>
    <t>Operations and Maintenance Risk</t>
  </si>
  <si>
    <t>Questions to display</t>
  </si>
  <si>
    <t>Market and Demand Risk</t>
  </si>
  <si>
    <t>Environmental and Social Risk</t>
  </si>
  <si>
    <t>Currency</t>
  </si>
  <si>
    <t>USD Mn</t>
  </si>
  <si>
    <t>Hectrares</t>
  </si>
  <si>
    <t>Risk of Land Acquisition</t>
  </si>
  <si>
    <t>Design and Construction Risk</t>
  </si>
  <si>
    <t>Market or Demand Risk</t>
  </si>
  <si>
    <t>Value for money assessment - Qualitative</t>
  </si>
  <si>
    <t>Value for money assessment - Quantitative</t>
  </si>
  <si>
    <t>Threshold Value for Money</t>
  </si>
  <si>
    <t>Market Appetite</t>
  </si>
  <si>
    <t>II</t>
  </si>
  <si>
    <t>III</t>
  </si>
  <si>
    <t>Parameter Reset</t>
  </si>
  <si>
    <t>Sub Parameter Reset</t>
  </si>
  <si>
    <t>Sub Parameter Display</t>
  </si>
  <si>
    <t>Sub Parameter Balance</t>
  </si>
  <si>
    <t>Parameter Display</t>
  </si>
  <si>
    <t>Parameter Balance</t>
  </si>
  <si>
    <t>Weighted Sub Parameter Score</t>
  </si>
  <si>
    <t>Project IRR</t>
  </si>
  <si>
    <t>Location</t>
  </si>
  <si>
    <t>Sector</t>
  </si>
  <si>
    <t>Project type</t>
  </si>
  <si>
    <t>Project size</t>
  </si>
  <si>
    <t>Availability</t>
  </si>
  <si>
    <t>AP Weight</t>
  </si>
  <si>
    <t>No. of Questions</t>
  </si>
  <si>
    <t>Minimum DSCR</t>
  </si>
  <si>
    <t>Threshold Minimum DSCR</t>
  </si>
  <si>
    <t>Overall Comment</t>
  </si>
  <si>
    <t>Characteristic</t>
  </si>
  <si>
    <t>Project Summary Sheet</t>
  </si>
  <si>
    <t>DEFICIENT</t>
  </si>
  <si>
    <t>Economic IRR</t>
  </si>
  <si>
    <t>4) Scaling Score</t>
  </si>
  <si>
    <t>5)</t>
  </si>
  <si>
    <t>6)</t>
  </si>
  <si>
    <t xml:space="preserve">1) </t>
  </si>
  <si>
    <t>Operations and Maintenance</t>
  </si>
  <si>
    <t>List of Project Types</t>
  </si>
  <si>
    <t>4)</t>
  </si>
  <si>
    <t>Text for Input Sheet</t>
  </si>
  <si>
    <t>List for Responsibility of Land Acquisition</t>
  </si>
  <si>
    <t>IV</t>
  </si>
  <si>
    <t>V</t>
  </si>
  <si>
    <t>abc</t>
  </si>
  <si>
    <t>xyz</t>
  </si>
  <si>
    <t>bde</t>
  </si>
  <si>
    <t>mno</t>
  </si>
  <si>
    <t>pqr</t>
  </si>
  <si>
    <t>qqq</t>
  </si>
  <si>
    <t>www</t>
  </si>
  <si>
    <t>tre</t>
  </si>
  <si>
    <t>qwd</t>
  </si>
  <si>
    <t>Average score of Sub Paramter</t>
  </si>
  <si>
    <t>Total Questions</t>
  </si>
  <si>
    <t>8)</t>
  </si>
  <si>
    <t xml:space="preserve">Value </t>
  </si>
  <si>
    <t xml:space="preserve">2) Sub Parameters </t>
  </si>
  <si>
    <t xml:space="preserve">2) Pro rata distribution of Weights for Market risk questions </t>
  </si>
  <si>
    <t>Alignment with Government priorities</t>
  </si>
  <si>
    <t>Threshold IRR = xx%</t>
  </si>
  <si>
    <t>Threshold Min DSCR = Y.YY</t>
  </si>
  <si>
    <t>Preparedness of the Contracting Agency</t>
  </si>
  <si>
    <t>Execution Capability of the Contracting Agency</t>
  </si>
  <si>
    <t>User Input</t>
  </si>
  <si>
    <t>Value for Money Assessment</t>
  </si>
  <si>
    <t>What is qualitative assessment of value  for money</t>
  </si>
  <si>
    <t>The procurement of a PPP project represents Value for Money when - compared to a public sector procurement option - it delivers higher net economic benefits to society, taking into consideration the whole-life costs of the project.
Qualitative VfM assessment checks whether the general concept of the project fits the model of private sector investment. One issue that might be considered is the expertise the private sector might be able to contribute to the specific project. It is also relevant to investigate the effectiveness of mechanisms to reduce information asymmetry between the government and the private sector.
Non-financial benefits of PPPs should also be taken into account and presented in the qualitative analysis. “PPP may provide the private sector with broader opportunities to apply innovation at all levels of project delivery. These incentives, if effectively harnessed, can provide non-financial benefits through three key mechanisms: 
● Accelerated delivery (delivering services earlier); 
● Enhanced delivery (delivering services to a higher standard); and 
● Wider social impacts (greater benefits to society as a whole).” 
All problems associated with involving a private sector player into the specific PPP contract should also be highlighted in the qualitative assessment, followed by the proposed strategy to mitigate them. These can be problems associated with the following.
● Lack of policy flexibility in the future due to the long-term contractual relationship, which is particularly relevant for dynamic policy sectors;
● Specific difficulties in monitoring private sector performance due to the technical limitations of the procuring agency and/or the nature of the service itself; and
● The role of specific assets in the delivery of wider policy objectives and the potential difficulty to associate performance indicators with them.
Different countries have different approaches as to which type of criteria are used in a qualitative analysis. However, it is necessary that this assessment investigates the main quantified risks and issues, and tries to indicate potential problems that can be created if including the private sector as a service provider in the particular project.
Qualitative VfM analysis has the advantage over quantitative analysis of not relying on sometimes uncertain numerical assumptions. However, qualitative analysis is inevitably subjective. Thus, the qualitative conclusions should, to the extent possible, be viewed alongside the quantitative analysis for a thorough comprehension of the advantages of the PPP contract over the traditional forms of procurement.</t>
  </si>
  <si>
    <t>What is quantitative assessment of Value for Money?</t>
  </si>
  <si>
    <t>The first step for conducting a quantitative VfM assessment is to produce a raw Public Sector Comparator (PSC). This refers to the estimate of the whole-life or baseline costs of the project from the government's perspective, if the project were to be implemented through a traditional procurement route and taking into account any revenues that would be received by government in this circumstance. A frequent assumption is that these costs and revenues should reflect the achievement of the same results expected by the private sector under the PPP contract. The PSC is usually developed by documenting the costs and revenues in a spreadsheet model from the government's perspective. The most common source of this data is the base case produced as a part of the financial feasibility exercise.
It should be noted that, typically, the quantitative VfM assessment is very much based on unproven assumptions. Not only the valuation of risks and cost estimates, but also the adjustments made to PSC and the discount rate, are estimates with a considerable level of inaccuracy. This is why its conclusions should be read for reference only; they need to be accompanied by sensitivity analysis and the numerical recommendation should always be followed by a qualitative analysis. In other words:
● A positive Value for Money (VfM) does not necessarily imply that a PPP route should be used; qualitative factors should be considered in the decision as well; and
● A negative Value for Money (VfM) does not mean that a PPP route is worse than traditional procurement. Sensitivities of important inputs should be developed in order to test the robustness of the results.
Under these circumstances, the use of the VfM methodology as a scientific pass or fail test is highly criticized, which is why some countries choose not to use it altogether. However, taken as a reference only, the tool is very useful to indicate the capacity of the PPP mechanism to increase efficiency in infrastructure delivery.</t>
  </si>
  <si>
    <t>What is market appetite?</t>
  </si>
  <si>
    <t xml:space="preserve">An effective market sounding exercise provides an opportunity for a structured dialogue between the private and the public sectors at early stages of the PPP process. This not only tests the viability of the project's details, but it also obtains feedback on how aspects of the project should be defined to ensure private sector participation and foster competition.
The project team should ensure that the financial feasibility exercise captures the potential investor’s perspective of the project. The assumptions made, and the base case they generate, will be completely ineffective if the project team fails to understand the private sector’s value drivers and the main financial and operational constraints companies might face during the provision of the infrastructure and services.
For this reason, many governments encourage a series of soft market tests or market soundings during the Appraisal Phase. In essence, their purpose is to test the project viability in the sense of ensuring that it will attract bidders and thus reach satisfactory closure. At the same time, market sounding also helps to communicate the status of the project to the private sector, thus allowing interested companies to start preparing for the future tender.
Also in this process, valuable feedback can be obtained that may have important effects on the financial model, the technical requirements, and the preliminary contract structure. There is no precise good practice as to the aspects of the project that should be tested through engagement with the private sector. It depends on the type of project and sector. The relevant rule is to test all the significantly uncertain aspects of the project. Good practice is to include all points in the project information memorandum, emphasizing the aspects to which government is seeking feedback. Some common points are as follows:
● The scope of the project, in terms of infrastructure design and the preliminary output specification;
● The main technical risks identified that might affect the ability of potential bidders to deliver the infrastructure and the services;
● Expected Capex and operational expenditures (Opex);
● The payment mechanism and other revenue schemes envisaged;
● The general aspects or risk allocation already defined;
● Financial assumptions such as the debt conditions and cost, and the tax and accounting assumptions;
● Proposed timetable for the period from procurement to the commencement of services; and
● Proposed contract structure, including risk allocation.
</t>
  </si>
  <si>
    <t>2. Preliminary Feasibility</t>
  </si>
  <si>
    <t>1. Strategic Suitability</t>
  </si>
  <si>
    <t>Construction, Operations and Maintenance</t>
  </si>
  <si>
    <t>Strategic Suitability Summary</t>
  </si>
  <si>
    <t xml:space="preserve">Preliminary Feasibility Summary </t>
  </si>
  <si>
    <t>Fiscal Affordability Assessment Summary</t>
  </si>
  <si>
    <t>Sub parameters</t>
  </si>
  <si>
    <t>Sub parameter</t>
  </si>
  <si>
    <t>Value for Money</t>
  </si>
  <si>
    <t>Strategic Suitability</t>
  </si>
  <si>
    <t>Preliminary Feasibility</t>
  </si>
  <si>
    <t>VI</t>
  </si>
  <si>
    <t>Minimum Required</t>
  </si>
  <si>
    <t>Max Possible</t>
  </si>
  <si>
    <t>Min Score</t>
  </si>
  <si>
    <t>Conditional Scoring</t>
  </si>
  <si>
    <t>Local Currency Mn</t>
  </si>
  <si>
    <t>Percentage share of Availability Payments in the total revenue</t>
  </si>
  <si>
    <t>Off Taker Risk</t>
  </si>
  <si>
    <t>Market Risk and Demand Risk</t>
  </si>
  <si>
    <t>Project Overall</t>
  </si>
  <si>
    <t>Comment 1</t>
  </si>
  <si>
    <t>Comment 2</t>
  </si>
  <si>
    <t xml:space="preserve">Prepare a comprehensive feasibility study to firm up the project fundamentals prior to the private partner procurement process. </t>
  </si>
  <si>
    <t xml:space="preserve">Continue to sharpen the definition of delivery options and project scope during the next stage. </t>
  </si>
  <si>
    <t>Firm up the project scope and address the identified issues during project preparation.</t>
  </si>
  <si>
    <t>Comment 1a</t>
  </si>
  <si>
    <t xml:space="preserve">The preliminary feasibility analysis indicates the project is extremely likely to be feasible on an overall basis and therefore strongly suitable to be taken forward. 
</t>
  </si>
  <si>
    <t xml:space="preserve">The preliminary feasibility analysis indicates the project is highly likely to be feasible on an overall basis and therefore strongly suitable to be taken forward. 
</t>
  </si>
  <si>
    <t>The project's feasibility is not well established and would require restructuring and reassessment  before it can be taken forward.</t>
  </si>
  <si>
    <t>Comment 1b</t>
  </si>
  <si>
    <t xml:space="preserve">The preliminary feasibility analysis indicates the project is likely to be feasible on an overall basis and therefore suitable to be taken forward. </t>
  </si>
  <si>
    <t xml:space="preserve">There are no significant fiscal commitments required by the project and the project has minimal contingent liabilities. </t>
  </si>
  <si>
    <t xml:space="preserve"> </t>
  </si>
  <si>
    <t>Preliminary Feasibility Summary</t>
  </si>
  <si>
    <t>:</t>
  </si>
  <si>
    <t>Percentage of Questions Skipped</t>
  </si>
  <si>
    <t>Percentage of Questions marked Uncertain</t>
  </si>
  <si>
    <t>Strategic Suitablility</t>
  </si>
  <si>
    <t>Parameter Snapshot</t>
  </si>
  <si>
    <t>Parameter Comments</t>
  </si>
  <si>
    <t>Weight</t>
  </si>
  <si>
    <t>Are the user charge assumptions backed by user surveys or consistent with the tariff in similar projects?</t>
  </si>
  <si>
    <t>Are the demand or volume projections backed by surveys or demand forecasting models using reliable historical data?</t>
  </si>
  <si>
    <t>Percentage</t>
  </si>
  <si>
    <t>(viii)</t>
  </si>
  <si>
    <t>(ix)</t>
  </si>
  <si>
    <t>Comment 1 a</t>
  </si>
  <si>
    <t>Although the entire project proposal needs to be revisited, specifically the identified areas will need restructuring and re-assessment.</t>
  </si>
  <si>
    <t>Prepare a comprehensive feasibility study to firm up the project fundamentals and address the identified issues.</t>
  </si>
  <si>
    <t>The identified areas would need further examination and strengthening.</t>
  </si>
  <si>
    <t>The identified areas will need restructuring and re-assessment.</t>
  </si>
  <si>
    <t>Overall Project Score</t>
  </si>
  <si>
    <t>Overall Project Comments</t>
  </si>
  <si>
    <t>Identified areas and sub-parameters to address</t>
  </si>
  <si>
    <t>Fiscal Affordability</t>
  </si>
  <si>
    <t>The identified areas would need further examination and strengthening during project preparation.</t>
  </si>
  <si>
    <t>The identified areas would need strengthening during project preparation.</t>
  </si>
  <si>
    <t>Although the entire project proposal needs to be revisited, specifically the identified areas will need to be addressed.</t>
  </si>
  <si>
    <t>Contracting agency will need to substanitally rework its implementation strategy.</t>
  </si>
  <si>
    <t>Contracting agency will need to rework its implementation strategy and also ensure that it has dedicated personnel to take the project ahead.</t>
  </si>
  <si>
    <t>Contracting agency may need to induct dedicated personnel expreienced in PPPs for implementing the project.</t>
  </si>
  <si>
    <t>Comments to be picked up for the dashboard from here</t>
  </si>
  <si>
    <t>Score for Risk Assessment</t>
  </si>
  <si>
    <t>Response summary</t>
  </si>
  <si>
    <t>Risk Assessment Summary</t>
  </si>
  <si>
    <t>Technical Prefeasibility</t>
  </si>
  <si>
    <t>Economic Prefeasibility</t>
  </si>
  <si>
    <t>Financial Prefeasibility</t>
  </si>
  <si>
    <t>Legal Prefeasibility</t>
  </si>
  <si>
    <t>Is there a plan to address the legal barriers through appropriate executive action or legislative reforms?</t>
  </si>
  <si>
    <t>5. Fiscal Affordability</t>
  </si>
  <si>
    <t>III-1-(i)</t>
  </si>
  <si>
    <t>III-1-(ii)</t>
  </si>
  <si>
    <t>III-1-(iii)</t>
  </si>
  <si>
    <t>III-1-(iv)</t>
  </si>
  <si>
    <t>Negative Questions</t>
  </si>
  <si>
    <t>III-2-(i)/(ii)</t>
  </si>
  <si>
    <t>III-2-(iii)/(iv)</t>
  </si>
  <si>
    <t>III-3-(i)</t>
  </si>
  <si>
    <t>III-3-(ii)</t>
  </si>
  <si>
    <t>III-3-(iii)</t>
  </si>
  <si>
    <t>III-3-(iV)/(v)/(vi)</t>
  </si>
  <si>
    <t>Weight Adjustment in case of non existence of risks</t>
  </si>
  <si>
    <t>Code</t>
  </si>
  <si>
    <t>Parameter Code</t>
  </si>
  <si>
    <t>Sub Parameter Code</t>
  </si>
  <si>
    <t>Question Number</t>
  </si>
  <si>
    <t>Question</t>
  </si>
  <si>
    <t>SUITABILITY</t>
  </si>
  <si>
    <t>PREFEASIBILITY</t>
  </si>
  <si>
    <t>RISK ASSESSMENT</t>
  </si>
  <si>
    <t>PPP ABILITY</t>
  </si>
  <si>
    <t>Blank Question</t>
  </si>
  <si>
    <t>INST. ABILITY</t>
  </si>
  <si>
    <t>Input
(%)</t>
  </si>
  <si>
    <t>ADMIN</t>
  </si>
  <si>
    <t>DATA</t>
  </si>
  <si>
    <t>Distribution</t>
  </si>
  <si>
    <t>Distributed</t>
  </si>
  <si>
    <t>Ratio</t>
  </si>
  <si>
    <t>Final</t>
  </si>
  <si>
    <t>Question Wise Weighted Score</t>
  </si>
  <si>
    <t>Quantification of Fiscal Support</t>
  </si>
  <si>
    <t>Applicable</t>
  </si>
  <si>
    <t>Prerequisites</t>
  </si>
  <si>
    <t>9) Prerequisite Conditions</t>
  </si>
  <si>
    <t>Prerequisite Check</t>
  </si>
  <si>
    <t>Potential Deal Breakers</t>
  </si>
  <si>
    <t>Active prerequisites/ potential deal breaker are highlighted in red</t>
  </si>
  <si>
    <t>Prerequisite</t>
  </si>
  <si>
    <t>Potential Deal Breaker</t>
  </si>
  <si>
    <t xml:space="preserve">Is the proposed site location adequately accessible and offers manageable challenges during construction?  </t>
  </si>
  <si>
    <t xml:space="preserve">The project will not have a negative impact on any natural resources or protected land.   </t>
  </si>
  <si>
    <t>Issue</t>
  </si>
  <si>
    <t>Applicability</t>
  </si>
  <si>
    <t>Potential Deal Breakers Triggered</t>
  </si>
  <si>
    <t>Associated Score</t>
  </si>
  <si>
    <t>Sub Parameter Wise Score</t>
  </si>
  <si>
    <t>Modification Allowed</t>
  </si>
  <si>
    <t xml:space="preserve">Responses that can be altered using respective data sheets are in </t>
  </si>
  <si>
    <t>Question Weights Applicable</t>
  </si>
  <si>
    <t>Check for Not Applicable</t>
  </si>
  <si>
    <t>Check for Skip</t>
  </si>
  <si>
    <t>Weight to be redistributed</t>
  </si>
  <si>
    <t>Prorata Distribution of Weight</t>
  </si>
  <si>
    <t>Existing Weights</t>
  </si>
  <si>
    <t>Sub Parameter Weighted Score</t>
  </si>
  <si>
    <t>2) Skip/NA functionality</t>
  </si>
  <si>
    <t>1) Scoring</t>
  </si>
  <si>
    <t>3) Chart</t>
  </si>
  <si>
    <t>4) Statistics</t>
  </si>
  <si>
    <t>Type</t>
  </si>
  <si>
    <t>Count</t>
  </si>
  <si>
    <t>Speedometer</t>
  </si>
  <si>
    <t>Scores</t>
  </si>
  <si>
    <t>Pro-rata Distribution of Weight</t>
  </si>
  <si>
    <t>Score for Fiscal Affordability</t>
  </si>
  <si>
    <t>Response Score</t>
  </si>
  <si>
    <t>Percentage Range</t>
  </si>
  <si>
    <t>Score Range</t>
  </si>
  <si>
    <t xml:space="preserve">Overall Score Constrain </t>
  </si>
  <si>
    <t>If Potential Dealbreak Triggered</t>
  </si>
  <si>
    <t>Will the project have any significant adverse impact on health or quality of life of users, workers and local population.</t>
  </si>
  <si>
    <t>Is the project likely to be socially sustainable or have manageable social impacts?</t>
  </si>
  <si>
    <t>Has the government prepared or committed to prepare a fully-budgeted land acquisition plan?</t>
  </si>
  <si>
    <t>Have there been substantial delays in land acquisition in similar projects in the past?</t>
  </si>
  <si>
    <t>(vI)</t>
  </si>
  <si>
    <t>(vII)</t>
  </si>
  <si>
    <t>LA Risk</t>
  </si>
  <si>
    <t>LA Complexity Score</t>
  </si>
  <si>
    <t>High</t>
  </si>
  <si>
    <t>Moderate</t>
  </si>
  <si>
    <t>Low</t>
  </si>
  <si>
    <t>Potential Land Owners</t>
  </si>
  <si>
    <t>No. of Land Owners</t>
  </si>
  <si>
    <t>Extent of Acquisition Required</t>
  </si>
  <si>
    <t>Medium-Low</t>
  </si>
  <si>
    <t>Moderate- High</t>
  </si>
  <si>
    <t>EXTENT OF LAND ACQUISITION REQUIRED</t>
  </si>
  <si>
    <t>NO. OF LAND OWNERS</t>
  </si>
  <si>
    <t>Land Complexity Weight</t>
  </si>
  <si>
    <t>Land Complexity Score</t>
  </si>
  <si>
    <t>Land Complexity Weighted Score</t>
  </si>
  <si>
    <t>Foreign Risk</t>
  </si>
  <si>
    <t>Will the project be exposed to foreign exchange risk?</t>
  </si>
  <si>
    <t>What has been the five-year average national currency depreciation vis-à-vis a benchmark currency?</t>
  </si>
  <si>
    <t>Foreign Exchange Risk</t>
  </si>
  <si>
    <t>Will the private sector take on environmental and social risks applicable after the contract signing date and not prior period liabilities?</t>
  </si>
  <si>
    <t>FISCAL AF.</t>
  </si>
  <si>
    <t>Contingent Liabilities</t>
  </si>
  <si>
    <t>GDP</t>
  </si>
  <si>
    <t>Direct Liabilities</t>
  </si>
  <si>
    <t>USD Billion</t>
  </si>
  <si>
    <t>Fiscal Affordability Score</t>
  </si>
  <si>
    <t>Direct/Indirect liabilities Weighted Score</t>
  </si>
  <si>
    <t>Direct/Indirect liabilities Weight</t>
  </si>
  <si>
    <t>Direct/Indirect liabilities Score</t>
  </si>
  <si>
    <t>ERR Calculations</t>
  </si>
  <si>
    <t>Input ERR</t>
  </si>
  <si>
    <t>Financial Feasibility Complexity Score</t>
  </si>
  <si>
    <t>DSCR</t>
  </si>
  <si>
    <t>IRR</t>
  </si>
  <si>
    <t>Financial Feasibility Weight</t>
  </si>
  <si>
    <t>Financial Feasibility Weighted Score</t>
  </si>
  <si>
    <t>Foreign Exchange Risk Complexity Score</t>
  </si>
  <si>
    <t>Foreign Exchange Risk Complexity Weight</t>
  </si>
  <si>
    <t>Foreign Exchange Risk Complexity Weighted Score</t>
  </si>
  <si>
    <t>Suitability 2 (i)</t>
  </si>
  <si>
    <t>Suitability 3 (i)</t>
  </si>
  <si>
    <t>Feasibility 1 (iii)</t>
  </si>
  <si>
    <t>Fiscal 2 (iii)</t>
  </si>
  <si>
    <t>Questions in red text are potential deal breaker questions and should not be skipped.</t>
  </si>
  <si>
    <t>Dashboard</t>
  </si>
  <si>
    <t>3.Risk Assessment</t>
  </si>
  <si>
    <t>Question Weight</t>
  </si>
  <si>
    <t>Overall Skip Constraint</t>
  </si>
  <si>
    <t>ERR Complexity Score</t>
  </si>
  <si>
    <t>ERR Complexity Weight</t>
  </si>
  <si>
    <t>ERR Complexity Weighted Score</t>
  </si>
  <si>
    <t>Overall Question Score</t>
  </si>
  <si>
    <t>Overall Question Weight</t>
  </si>
  <si>
    <t>Overall Question Weighted Score</t>
  </si>
  <si>
    <t>Identification of Service need</t>
  </si>
  <si>
    <t>Scoping of Project</t>
  </si>
  <si>
    <t>Strategic Suitability: Explanatory Notes</t>
  </si>
  <si>
    <t>Financial Prefeasbility: Explanatory Notes</t>
  </si>
  <si>
    <t>Risk Assessment: Explanatory Notes</t>
  </si>
  <si>
    <t>PPP Ability: Explanatory Notes</t>
  </si>
  <si>
    <t>Is the economic analysis based on realistic assumptions and historical data?</t>
  </si>
  <si>
    <t>Is VFM greater than threshold</t>
  </si>
  <si>
    <t>Normalized Response</t>
  </si>
  <si>
    <t>Positive</t>
  </si>
  <si>
    <t>Negative</t>
  </si>
  <si>
    <t>Names</t>
  </si>
  <si>
    <t>Scoring Value</t>
  </si>
  <si>
    <t>Positive Questions</t>
  </si>
  <si>
    <t>2) NA functionality</t>
  </si>
  <si>
    <t xml:space="preserve">2) NA Functionality </t>
  </si>
  <si>
    <t>Input Sheet</t>
  </si>
  <si>
    <t>Is the project IRR (post-tax) greater than the threshold rate?</t>
  </si>
  <si>
    <t>Applicable Question Weights (Parameter Number-Sub Parameter Number-Question Number)</t>
  </si>
  <si>
    <t>RA</t>
  </si>
  <si>
    <t>I. Strategic Suitability</t>
  </si>
  <si>
    <t>II. Preliminary Feasibility</t>
  </si>
  <si>
    <t>III. Risk Assessment</t>
  </si>
  <si>
    <t>Questions Applicable</t>
  </si>
  <si>
    <t>A) Project Profile</t>
  </si>
  <si>
    <t>B) Prerequisite Conditions</t>
  </si>
  <si>
    <t>Detailed Output Sheet</t>
  </si>
  <si>
    <t>User Response</t>
  </si>
  <si>
    <t>Project Name:</t>
  </si>
  <si>
    <t>Implementing Government Agency:</t>
  </si>
  <si>
    <t>% of GDP</t>
  </si>
  <si>
    <t>Potential Deal breakers triggered</t>
  </si>
  <si>
    <t>Does the project require land acquisition?</t>
  </si>
  <si>
    <t>Forced Score - Uncertain ERR</t>
  </si>
  <si>
    <t>Forced Score - Uncertain currency depreciation</t>
  </si>
  <si>
    <t>C) Revenue Profile</t>
  </si>
  <si>
    <t>D) Government Support</t>
  </si>
  <si>
    <t>E) Land Status</t>
  </si>
  <si>
    <t>F) Value for Money - Quantitative Assessment</t>
  </si>
  <si>
    <t>G) Return Expectations</t>
  </si>
  <si>
    <t>OUTPUTS &gt;&gt;&gt;</t>
  </si>
  <si>
    <t>INPUT SHEETS &gt;&gt;&gt;</t>
  </si>
  <si>
    <t>Basic Project Data</t>
  </si>
  <si>
    <t>NOTES TO USERS</t>
  </si>
  <si>
    <t>Potential Deal breakers skipped</t>
  </si>
  <si>
    <t>Potential Deal breakers marked uncertain</t>
  </si>
  <si>
    <t>Skipped deal breakers</t>
  </si>
  <si>
    <t>Skipped Prerequisites</t>
  </si>
  <si>
    <t>Uncertain Prerequisites</t>
  </si>
  <si>
    <t>Uncertain deal breakers</t>
  </si>
  <si>
    <t>Skip%</t>
  </si>
  <si>
    <t>Uncertain%</t>
  </si>
  <si>
    <t>Overall</t>
  </si>
  <si>
    <t>Percentage of Prerequisites triggered</t>
  </si>
  <si>
    <t>Percentage of Prerequisites marked uncertain</t>
  </si>
  <si>
    <t>Percentage of PD skipped/triggered</t>
  </si>
  <si>
    <t>Number of PD skipped/triggered</t>
  </si>
  <si>
    <t>triggered</t>
  </si>
  <si>
    <t>Potential Deal Breakers Applicable</t>
  </si>
  <si>
    <t>Total Weight</t>
  </si>
  <si>
    <t>Readjust weigts for each subparameter if</t>
  </si>
  <si>
    <t>Weights are greater or less than 100%</t>
  </si>
  <si>
    <t xml:space="preserve">3) </t>
  </si>
  <si>
    <t>4) Calculations and Admin Functionalities</t>
  </si>
  <si>
    <t>5) (I) Strategic Suitability</t>
  </si>
  <si>
    <t>5 (II) Prefeasibility</t>
  </si>
  <si>
    <t>5 (III) Risk Assessment</t>
  </si>
  <si>
    <t>5 (V) Fiscal Affordability</t>
  </si>
  <si>
    <t>6) Default/Reset ALL</t>
  </si>
  <si>
    <t>1) NOTE TO USERS</t>
  </si>
  <si>
    <t>B) Modify Complexity Score Weights</t>
  </si>
  <si>
    <t>I)</t>
  </si>
  <si>
    <t>II)</t>
  </si>
  <si>
    <t>III)</t>
  </si>
  <si>
    <t>IV)</t>
  </si>
  <si>
    <t>Complexity Score</t>
  </si>
  <si>
    <t>Complexity Score Weight</t>
  </si>
  <si>
    <t>Fiscal Affordability Complexity Score</t>
  </si>
  <si>
    <t>Land Acquisition Complexity Score</t>
  </si>
  <si>
    <t>&gt;&gt;&gt;</t>
  </si>
  <si>
    <t>A) Modify Question Weights&gt;&gt;&gt;                                                &gt;&gt;&gt;                                           &gt;&gt;&gt;</t>
  </si>
  <si>
    <t>Forex Risk Complexity Score</t>
  </si>
  <si>
    <t>V)</t>
  </si>
  <si>
    <r>
      <rPr>
        <b/>
        <sz val="11"/>
        <color rgb="FFC00000"/>
        <rFont val="Webdings"/>
        <family val="1"/>
        <charset val="2"/>
      </rPr>
      <t xml:space="preserve">a </t>
    </r>
    <r>
      <rPr>
        <b/>
        <sz val="11"/>
        <color rgb="FFC00000"/>
        <rFont val="Calibri"/>
        <family val="2"/>
        <scheme val="minor"/>
      </rPr>
      <t>This sheet is to be used to alter assumptions and adjust weightages of project parameters and their respective sub parameters for the detailed project selection tool</t>
    </r>
  </si>
  <si>
    <r>
      <rPr>
        <b/>
        <sz val="11"/>
        <color rgb="FFC00000"/>
        <rFont val="Webdings"/>
        <family val="1"/>
        <charset val="2"/>
      </rPr>
      <t xml:space="preserve">a </t>
    </r>
    <r>
      <rPr>
        <b/>
        <sz val="11"/>
        <color rgb="FFC00000"/>
        <rFont val="Calibri"/>
        <family val="2"/>
        <scheme val="minor"/>
      </rPr>
      <t>Please make sure that the weightages alloted to each parameter do not cross the maximum limit of 100%</t>
    </r>
  </si>
  <si>
    <r>
      <rPr>
        <b/>
        <sz val="11"/>
        <color rgb="FFC00000"/>
        <rFont val="Webdings"/>
        <family val="1"/>
        <charset val="2"/>
      </rPr>
      <t xml:space="preserve">a </t>
    </r>
    <r>
      <rPr>
        <b/>
        <sz val="11"/>
        <color rgb="FFC00000"/>
        <rFont val="Calibri"/>
        <family val="2"/>
        <scheme val="minor"/>
      </rPr>
      <t>Alternatively you can apply the weights by using the scroll bar</t>
    </r>
  </si>
  <si>
    <t>Check the applicable box to apply a particular rerequisite/deal breaker</t>
  </si>
  <si>
    <t>Sub parameter score constraints are getting applied here</t>
  </si>
  <si>
    <t>Sub parameter Score</t>
  </si>
  <si>
    <t>or(X20&gt;0,X22&gt;0)</t>
  </si>
  <si>
    <t>Pre-requisites not met</t>
  </si>
  <si>
    <t>Potential Deal Breakers to be addressed</t>
  </si>
  <si>
    <t>Comments due to constraints</t>
  </si>
  <si>
    <t>Comments from top based on score</t>
  </si>
  <si>
    <t>Comments to dashboard</t>
  </si>
  <si>
    <t>Overall Comment under constraint</t>
  </si>
  <si>
    <t>Triggered -1/No - 0</t>
  </si>
  <si>
    <r>
      <rPr>
        <b/>
        <sz val="11"/>
        <color rgb="FFC00000"/>
        <rFont val="Webdings"/>
        <family val="1"/>
        <charset val="2"/>
      </rPr>
      <t xml:space="preserve">a </t>
    </r>
    <r>
      <rPr>
        <b/>
        <sz val="11"/>
        <color rgb="FFC00000"/>
        <rFont val="Calibri"/>
        <family val="2"/>
        <scheme val="minor"/>
      </rPr>
      <t>Check the reset box to re-adjust weights to their default settings</t>
    </r>
  </si>
  <si>
    <r>
      <rPr>
        <b/>
        <sz val="11"/>
        <color rgb="FFC00000"/>
        <rFont val="Webdings"/>
        <family val="1"/>
        <charset val="2"/>
      </rPr>
      <t xml:space="preserve">a </t>
    </r>
    <r>
      <rPr>
        <b/>
        <sz val="11"/>
        <color rgb="FFC00000"/>
        <rFont val="Calibri"/>
        <family val="2"/>
        <scheme val="minor"/>
      </rPr>
      <t>Check on the reset all box to re-adjust parameter weights</t>
    </r>
  </si>
  <si>
    <r>
      <rPr>
        <b/>
        <sz val="11"/>
        <color rgb="FFC00000"/>
        <rFont val="Webdings"/>
        <family val="1"/>
        <charset val="2"/>
      </rPr>
      <t xml:space="preserve">a </t>
    </r>
    <r>
      <rPr>
        <b/>
        <sz val="11"/>
        <color rgb="FFC00000"/>
        <rFont val="Calibri"/>
        <family val="2"/>
        <scheme val="minor"/>
      </rPr>
      <t>To apply weights uncheck the reset checkbox and input the weight to be applied in the input column.</t>
    </r>
  </si>
  <si>
    <t>Do sector laws, regulations or policies allow private sector participation in the project?</t>
  </si>
  <si>
    <t>Feasibility 1 (iv)</t>
  </si>
  <si>
    <t>Are the technical cost estimates in line with required output specifications?</t>
  </si>
  <si>
    <t>Will the project have any significant negative impact on any natural resources or protected land?</t>
  </si>
  <si>
    <t>Feasibility 3 (ii)</t>
  </si>
  <si>
    <t>Feasibility 6 (v)</t>
  </si>
  <si>
    <t>Risk 2 (ii)</t>
  </si>
  <si>
    <t xml:space="preserve">In order to change the scoring weightages of the questions, please click on the Admin sheet. </t>
  </si>
  <si>
    <t>Potential Deal breaker constraint</t>
  </si>
  <si>
    <t xml:space="preserve">Note: The weightage for these questions is predetermined by the ratio of availability payments in the total hybrid payment structure
</t>
  </si>
  <si>
    <t>No. of deal breakers</t>
  </si>
  <si>
    <t>Responses</t>
  </si>
  <si>
    <t>Constraining score</t>
  </si>
  <si>
    <t>IV. PPP Suitability</t>
  </si>
  <si>
    <t>PPP Suitability: Explanatory Notes</t>
  </si>
  <si>
    <t>PPP Suitability Assessment Summary</t>
  </si>
  <si>
    <t>PPP Suitability</t>
  </si>
  <si>
    <t>4. PPP Suitability</t>
  </si>
  <si>
    <t>5 (IV) PPP Suitability</t>
  </si>
  <si>
    <t>Score for PPP Suitability</t>
  </si>
  <si>
    <t>Government institutional capability</t>
  </si>
  <si>
    <t>5 (VI) Institutional capability</t>
  </si>
  <si>
    <t>6. Institutional capability</t>
  </si>
  <si>
    <t>Score for Institutional capability</t>
  </si>
  <si>
    <t>Government Institutional capability: Explanatory Notes</t>
  </si>
  <si>
    <t>Potential Deal breakers:</t>
  </si>
  <si>
    <t>Prerequisites:</t>
  </si>
  <si>
    <t>Will the design and systems of the project be resilient and adaptive to changes in climate conditions or other significant long-term changes in operational or environmental conditions?</t>
  </si>
  <si>
    <t>Will the project design suitably address the impact of potential natural or human-induced hazards in the region?</t>
  </si>
  <si>
    <t>Environmental Sustainability: Climate and Resilience</t>
  </si>
  <si>
    <t>Environmental Sustainability</t>
  </si>
  <si>
    <t>Social Sustainability</t>
  </si>
  <si>
    <t>Reduction in Green House Gas Emissions</t>
  </si>
  <si>
    <t>Resilience and adaptability to long term climate changes and hazards</t>
  </si>
  <si>
    <t>Moderately resilient to climate changes and hazards</t>
  </si>
  <si>
    <t>Net Carbon Negative</t>
  </si>
  <si>
    <t>Highly resilient and adaptive project</t>
  </si>
  <si>
    <t>Project has potential for recovery from previous adverse effects</t>
  </si>
  <si>
    <t>Carbon Neutral</t>
  </si>
  <si>
    <t>None of the above</t>
  </si>
  <si>
    <t>Not Used</t>
  </si>
  <si>
    <t>Reduction in Green house Emissions</t>
  </si>
  <si>
    <t>Resilience and adaptability</t>
  </si>
  <si>
    <t>Med-High</t>
  </si>
  <si>
    <t>Med-Low</t>
  </si>
  <si>
    <t>Potential Reduction Possible</t>
  </si>
  <si>
    <t>Geometric mean</t>
  </si>
  <si>
    <t>Weight of Complexity Factor</t>
  </si>
  <si>
    <t>Weight of Questions</t>
  </si>
  <si>
    <t>Environmental Sustainability Complexity Score</t>
  </si>
  <si>
    <t>I) Climate Change and Resilience Profile</t>
  </si>
  <si>
    <t>2) User Input Sheet</t>
  </si>
  <si>
    <r>
      <rPr>
        <b/>
        <sz val="11"/>
        <color rgb="FFC00000"/>
        <rFont val="Webdings"/>
        <family val="1"/>
        <charset val="2"/>
      </rPr>
      <t xml:space="preserve">a </t>
    </r>
    <r>
      <rPr>
        <b/>
        <sz val="11"/>
        <color rgb="FFC00000"/>
        <rFont val="Calibri"/>
        <family val="2"/>
        <scheme val="minor"/>
      </rPr>
      <t>Too many PST weight adjustments can destabilize the PST. In that case, minimum and maximum weight limits might not apply. If that happens, save and restart the tool.</t>
    </r>
  </si>
  <si>
    <t>Forced Score Applicable</t>
  </si>
  <si>
    <t>Level</t>
  </si>
  <si>
    <t>Customization</t>
  </si>
  <si>
    <t>Sheet</t>
  </si>
  <si>
    <t xml:space="preserve">Administrator </t>
  </si>
  <si>
    <t>B3: N34</t>
  </si>
  <si>
    <t>Select applicable prerequisites</t>
  </si>
  <si>
    <t>Select applicable potential deal breakers</t>
  </si>
  <si>
    <t xml:space="preserve">Alter parameter weights </t>
  </si>
  <si>
    <t xml:space="preserve">Alter sub-parameter weights </t>
  </si>
  <si>
    <t>B37:N40</t>
  </si>
  <si>
    <t>B41:N53</t>
  </si>
  <si>
    <t>Alter complexity ratio weights</t>
  </si>
  <si>
    <t>Alter question wise weights</t>
  </si>
  <si>
    <t xml:space="preserve">Data Analysis </t>
  </si>
  <si>
    <t>Steps</t>
  </si>
  <si>
    <t>Note to users</t>
  </si>
  <si>
    <t>Explanation of Prerequisites</t>
  </si>
  <si>
    <t>Please fill in the blue highlighted cells in Basic Project Data Sheet</t>
  </si>
  <si>
    <t>Institutional Capability</t>
  </si>
  <si>
    <t>N38:N40</t>
  </si>
  <si>
    <t>N41:N53</t>
  </si>
  <si>
    <t>F4,F9,F16,F25,F28,F31</t>
  </si>
  <si>
    <t>G5:G34
H5:H34</t>
  </si>
  <si>
    <t>J11:J16</t>
  </si>
  <si>
    <t>D11:D143</t>
  </si>
  <si>
    <t>On an overall basis, the project is amenable as a PPP but has areas to be strengthened during the feasibility study stage.</t>
  </si>
  <si>
    <t>The project is a good fit with strategic suitability but has some areas to be strengthened during the feasibility study stage.</t>
  </si>
  <si>
    <t>The project aligns well on strategic suitability but has some areas to be strengthened during the feasibility study stage.</t>
  </si>
  <si>
    <t>Explanatory Notes</t>
  </si>
  <si>
    <t>Basic Project Data Sheet</t>
  </si>
  <si>
    <t>Will there be independent reviews of designs, monitoring of construction progress and oversight during testing and commissioning phases?</t>
  </si>
  <si>
    <t>Will the contracting agency hire independent consultants or advisors to periodically assess project performance during the operations phase?</t>
  </si>
  <si>
    <t>VI)</t>
  </si>
  <si>
    <t>Cells allowed for Modification</t>
  </si>
  <si>
    <t>Location cell Reference</t>
  </si>
  <si>
    <t>Disclaimer:</t>
  </si>
  <si>
    <t>Explanatory notes are provided to the user in the parameter sheets. They can be accessed by clicking on the sub-parameter cells.</t>
  </si>
  <si>
    <t>Provides a snapshot of the project score and related commentary on the parameters.</t>
  </si>
  <si>
    <t>Highlights the proportion of questions skipped or marked uncertain that would require further examination and resolution.</t>
  </si>
  <si>
    <t>Step 1: Unhide the Admin sheet
Step 2: Go to the location cell reference
Step 3: Select/Unselect applicable prerequisites in the yellow shaded cells allowed for modification</t>
  </si>
  <si>
    <t>Step 1: Unhide the Admin sheet
Step 2: Go to the location cell reference
Step 3: Select/Unselect applicable potential dealbreakers in the yellow shaded cells allowed for modification</t>
  </si>
  <si>
    <t>Step 1: Unhide the Admin sheet
Step 2: Go to the location cell reference
Step 3: Uncheck Reset parameter weights
Step 4: Apply parameter weights using the scroll bar in the yellow shaded cells allowed for modification</t>
  </si>
  <si>
    <t>Step 1: Unhide the Admin sheet
Step 2: Go to the location cell reference
Step 3: Uncheck Reset button for the sub-parameter
Step 4: Apply sub-parameter weights by inputing values or by using scroll bar in the yellow shaded cells allowed for modification</t>
  </si>
  <si>
    <t>Step 1: Unhide the Data analysis sheet
Step 2: Go to the location cell reference
Step 3: The complexity weights can be altered in the yellow shaded cells allowed for modification</t>
  </si>
  <si>
    <t>Step 1: Unhide the Data analysis sheet
Step 2: Go to the location cell reference
Step 3: The question weights can be modified in the yellow shaded cells allowed for modification</t>
  </si>
  <si>
    <r>
      <rPr>
        <b/>
        <sz val="10"/>
        <color theme="1"/>
        <rFont val="Arial"/>
        <family val="2"/>
      </rPr>
      <t>Green House Gas Emission and Sustainability</t>
    </r>
    <r>
      <rPr>
        <sz val="10"/>
        <color theme="1"/>
        <rFont val="Arial"/>
        <family val="2"/>
      </rPr>
      <t>. For clarification related to GHG, please refer to the notes in Basic Project Data sheet.</t>
    </r>
  </si>
  <si>
    <t>Does the law confer enforceable rights such as, rights of substitution, step-in rights or other applicable remedies that enable the lenders to recover their outstanding loan amounts?</t>
  </si>
  <si>
    <t>Is the proposed site accessible with any potential challenges during construction being manageable?</t>
  </si>
  <si>
    <t>Is the identified environmental management strategy, or its related approvals, likely to result in uncertainties or delays that could impede the implementation of the project?</t>
  </si>
  <si>
    <t>Threshold Score</t>
  </si>
  <si>
    <t>Are there competing projects in the defined market that could impact the ramping up of demand for this PPP project?</t>
  </si>
  <si>
    <t>Will the contracting agency have access to transaction advisors and/or consultants for project preparation and procurement?</t>
  </si>
  <si>
    <t>BELOW THRESHOLD SCORES</t>
  </si>
  <si>
    <t>SPs &lt;Threshold</t>
  </si>
  <si>
    <t>Parameters &lt;Threshold</t>
  </si>
  <si>
    <t>TOTAL</t>
  </si>
  <si>
    <t>NUMBER OF SUB PARAMETERS/ PARAMETERS BELOW THRESHOLD</t>
  </si>
  <si>
    <t>Sub Parameters &lt; Threshold</t>
  </si>
  <si>
    <t>Identified areas to address</t>
  </si>
  <si>
    <t>PD Parameter</t>
  </si>
  <si>
    <t>If both Pre-requisites and Potential Deal Breakers are not met</t>
  </si>
  <si>
    <t>Moderately Weak or Below Parameters</t>
  </si>
  <si>
    <t>List of Weak Parameters</t>
  </si>
  <si>
    <t>Row</t>
  </si>
  <si>
    <t>Sub Parameter  Comment</t>
  </si>
  <si>
    <t>Parameter Comment</t>
  </si>
  <si>
    <t>Sub Parameter List</t>
  </si>
  <si>
    <t>SP List To Dashboard</t>
  </si>
  <si>
    <t>Parameter List</t>
  </si>
  <si>
    <t>P List To Dashboard</t>
  </si>
  <si>
    <t>Comments to Cell AG14 &amp; AG15</t>
  </si>
  <si>
    <t>SP to Dashboard</t>
  </si>
  <si>
    <t>Govt’s institutional Capability</t>
  </si>
  <si>
    <t>Overarching Score Constraints for Sub-Parameter Responses in case of majority of No, Uncertain and/or Skipped Responses</t>
  </si>
  <si>
    <t>&gt;=</t>
  </si>
  <si>
    <t>&lt;=</t>
  </si>
  <si>
    <t>Forced Score</t>
  </si>
  <si>
    <t>If the % of [Negative, Uncertain and/or Skipped] responses for a sub parameter are between</t>
  </si>
  <si>
    <t>Applicable score constraints for cases with extremely poor responses (Negative, Uncertain and/or Skip) Refer cells B147:F149</t>
  </si>
  <si>
    <t>Euro Mn</t>
  </si>
  <si>
    <t xml:space="preserve">WARNING IN BASIC PROJECT DATA SHEET FOR BELOW THRESHOLD SCORES </t>
  </si>
  <si>
    <t>Prerequisite Conditions not met</t>
  </si>
  <si>
    <t>Caption for Warning, in case of below triggers</t>
  </si>
  <si>
    <t>Project's VFM</t>
  </si>
  <si>
    <t>Counter</t>
  </si>
  <si>
    <t>Warning</t>
  </si>
  <si>
    <t>Warning to Basic Project Data Sheet</t>
  </si>
  <si>
    <t xml:space="preserve">Goes to cell </t>
  </si>
  <si>
    <t>0.Basic Project Data'!E7</t>
  </si>
  <si>
    <t>Link</t>
  </si>
  <si>
    <t>Linked Cell</t>
  </si>
  <si>
    <t>0.Basic Project Data'!E6</t>
  </si>
  <si>
    <t>ERR</t>
  </si>
  <si>
    <t>Uni-Dimesional Score</t>
  </si>
  <si>
    <t>Note:</t>
  </si>
  <si>
    <t>It is recommended that users do not overly rely on the project score (or numbers therein) generated and make sure that all issues raised by the PST are examined in detail while attempting to use the PST as a decision-making tool. The PST is also structured as a comprehensive checklist in a user-friendly format that helps to test the suitability of the project. It displays the key features of the project, their strengths and weaknesses to facilitate decision-making, in situations of low as well as high levels of information.</t>
  </si>
  <si>
    <t>Overall Comments to Parameter Sheet and Dashboard</t>
  </si>
  <si>
    <t>When Potential Deal Breakers are Triggered or marked as Uncertain</t>
  </si>
  <si>
    <t>PD Trigger Count</t>
  </si>
  <si>
    <t>PD Uncertain</t>
  </si>
  <si>
    <t>PD Skipped</t>
  </si>
  <si>
    <t>Comment 1A</t>
  </si>
  <si>
    <t>Comment 1B</t>
  </si>
  <si>
    <t>Full Comment</t>
  </si>
  <si>
    <t>PDB triggered</t>
  </si>
  <si>
    <t>PDB skipped/uncertain</t>
  </si>
  <si>
    <t>The project has a strong strategic fit on an overall basis. However,</t>
  </si>
  <si>
    <t>Comment 1C</t>
  </si>
  <si>
    <t xml:space="preserve"> Please prepare a clear strategy to address it(them).</t>
  </si>
  <si>
    <t>The project has a good strategic fit on an overall basis. However,</t>
  </si>
  <si>
    <t xml:space="preserve">On an overall basis the project has the potential to align with the strategic suitability. However, </t>
  </si>
  <si>
    <t>On an overall basis the project is marginally aligned with the strategic suitability. In addition,</t>
  </si>
  <si>
    <t xml:space="preserve"> potential Deal Breaker Conditions have been skipped or marked uncertain.</t>
  </si>
  <si>
    <t xml:space="preserve"> potential Deal Breakers have been triggered</t>
  </si>
  <si>
    <t xml:space="preserve"> Please address the weakness(es) to restructure and reassess the project.</t>
  </si>
  <si>
    <t>Need to revisit the project concept, fill up data gaps, restructure and reassess. Do not proceed to feasibility study stage in the present state of the project.</t>
  </si>
  <si>
    <t>Do not proceed to feasibility study stage.</t>
  </si>
  <si>
    <t xml:space="preserve">The project is materially deficient to be considered further in its present form. In addition, </t>
  </si>
  <si>
    <t xml:space="preserve">The project is not strategically suitable as a PPP. It is deficient in several areas. In addition, </t>
  </si>
  <si>
    <t xml:space="preserve">The project's strategic suitability is not well established. In addition, </t>
  </si>
  <si>
    <t>Comment 1D</t>
  </si>
  <si>
    <t>SP Number</t>
  </si>
  <si>
    <t xml:space="preserve">The project does not  appear to be strategically suitable as a PPP. In addition, </t>
  </si>
  <si>
    <t>Overall Comments</t>
  </si>
  <si>
    <t>Comment No</t>
  </si>
  <si>
    <t xml:space="preserve">The project is highly likely to be feasible on an overall basis. However, </t>
  </si>
  <si>
    <t xml:space="preserve">The project is likely to be feasible on an overall basis. However, </t>
  </si>
  <si>
    <t xml:space="preserve">The project is marginally likely to be feasible on an overall basis. However, </t>
  </si>
  <si>
    <t xml:space="preserve">The project appears infeasibile. In addition, </t>
  </si>
  <si>
    <t>Would require to be substantially reconfigured and reassessed before it can be considered further. Do not proceed to feasibility study stage in the present state of the project.</t>
  </si>
  <si>
    <t>Would require to be substantially reconfigured and assessed afresh.Do not proceed to feasibility study stage in the present state of the project.</t>
  </si>
  <si>
    <t>The project is materially deficient to be considered further in its present form.</t>
  </si>
  <si>
    <t>Please reconfigure the project characteristics and structure, before assessing afresh.</t>
  </si>
  <si>
    <t>Please reconfigure the project characteristics and structure, before assessing afresh. Do not proceed to feasibility study stage in the present state of the project.</t>
  </si>
  <si>
    <t xml:space="preserve">The project is extremely amenable as a PPP. There is a strong indication on value-for-money and a potentially favourable market  interest. Please note that the project's bankability is dependent on availability and adequacy of the required government support measures. However, </t>
  </si>
  <si>
    <t xml:space="preserve">The project is highly amenable as a PPP. There is a strong indication on value-for-money and a potentially favourable market  interest. Please note that the project's bankability is dependent on availability and adequacy of the required government support measures. However, </t>
  </si>
  <si>
    <t xml:space="preserve">The project is amenable as a PPP. Please note that the project's bankability is dependent on availability and adequacy of the required government support measures. However, </t>
  </si>
  <si>
    <t xml:space="preserve">On an overall basis, the project is amenable as a PPP but has areas to be strengthened during the feasibility study stage. However, </t>
  </si>
  <si>
    <t xml:space="preserve">On an overall basis, the project is marginally amenable as a PPP. In addition, 
</t>
  </si>
  <si>
    <t xml:space="preserve"> Please prepare a clear strategy to address it(them). Practioners should excercise caution while proceeding forward. </t>
  </si>
  <si>
    <t>There is a  high level of uncertainty associated with the project's PPP-ability and will require restructuring and reassessment  before it can be taken forward.</t>
  </si>
  <si>
    <t xml:space="preserve">The project's potential to be developed as a PPP is not well substantiated. In addition, </t>
  </si>
  <si>
    <t xml:space="preserve">The project's potential to be developed as a PPP is questionable. In addition, </t>
  </si>
  <si>
    <t>There is a  high level of uncertainty associated with the project's PPP-ability and likely require restructuring and reassessment  before it can be taken forward.</t>
  </si>
  <si>
    <t xml:space="preserve">Its unlikely that the project can be developed as a PPP . In addition, </t>
  </si>
  <si>
    <t>It will require substantial reconfiguration before it can be considered any further.</t>
  </si>
  <si>
    <t xml:space="preserve">The project cannot be developed as a PPP. In addition, </t>
  </si>
  <si>
    <t>It appears deficient in several areas and would require to be substantial reconfigured and assessed afresh.</t>
  </si>
  <si>
    <t xml:space="preserve">There are no significant fiscal commitments required by the project and the project has minimal contingent liabilities. However, </t>
  </si>
  <si>
    <t xml:space="preserve"> The fiscal commitments are within acceptable budget ceilings and their collective impact is fiscally manageable by the government. However, </t>
  </si>
  <si>
    <t xml:space="preserve">The fiscal commitments are within acceptable budget ceilings and their collective impact is fiscally manageable by the government. However, </t>
  </si>
  <si>
    <t xml:space="preserve">The fiscal commitments appear marginally affordable and manageable by the government. However, </t>
  </si>
  <si>
    <t xml:space="preserve">The fiscal commitments are substantial and the project exposes the government to high level of fiscal risk. In addition, </t>
  </si>
  <si>
    <t xml:space="preserve">Specifically, the identified areas would need further examination and strengethening. Please prepare a clear strategy to address it(them). Practioners should excercise caution while proceeding forward. </t>
  </si>
  <si>
    <t>Specifically, the identified areas would need restructuring and re-examination before any further consideration.</t>
  </si>
  <si>
    <t xml:space="preserve">The proposed government's fiscal commitments are not consistent with the government's policy. In addition, </t>
  </si>
  <si>
    <t>Please reconfigure the project characteristics and structure of government's committments, before assessing afresh.</t>
  </si>
  <si>
    <t xml:space="preserve">The Contracting Agency has an implementable plan for developing the project . And they have very strong capabilities and dedicated experienced personnel to manage the PPP. However, </t>
  </si>
  <si>
    <t xml:space="preserve">The Contracting Agency has an implementable plan for developing the project . And they have strong capabilities and dedicated experienced personnel to manage the PPP. However, </t>
  </si>
  <si>
    <t xml:space="preserve">The Contracting Agency planned the next stages of the project well. And they have capabilities and dedicated experienced personnel to manage the PPP.  However, </t>
  </si>
  <si>
    <t xml:space="preserve">The Contracting Agency has a basic road map for the next stages of the project. And they have limited capabilities to manage the PPP. However, </t>
  </si>
  <si>
    <t xml:space="preserve">The Contracting Agency has limited capabilities to manage the PPP. In addition, </t>
  </si>
  <si>
    <t xml:space="preserve">Specifically, the identified areas would need restructuring and re-examination before any further consideration. Practioners should excercise caution while proceeding forward. </t>
  </si>
  <si>
    <t xml:space="preserve">Specifically, the identified areas would need restructuring and re-examination before any further consideration. Please prepare a clear strategy to address it(them). Practioners should excercise caution while proceeding forward. </t>
  </si>
  <si>
    <t xml:space="preserve">The Contracting Agency has no capabilities to manage the PPP. In addition, </t>
  </si>
  <si>
    <t xml:space="preserve">The institutional capacity appears deficient in several areas. There is a clear need to substantially augment the institutional capacity and reconfigure project plans to align with the insitutional strenthening. This aspect would need to be assessed afresh. Practioners should excercise caution while proceeding forward. </t>
  </si>
  <si>
    <t xml:space="preserve">There is a clear need to substantially augment the institutional capacity and reconfigure project plans to align with the insitutional strenthening. This aspect would need to be assessed afresh. Practioners should excercise caution while proceeding forward. </t>
  </si>
  <si>
    <t>DBC Potential</t>
  </si>
  <si>
    <t>SP&lt;Threshold</t>
  </si>
  <si>
    <t>The project has an excellent risk profile in terms of overall risk allocation and mitigation. Key risks have been identified and equitably shared to reduce the overall risk profile. There is a high degree of certainty that the proposed risk sharing will generate substantial private sector interest.</t>
  </si>
  <si>
    <t xml:space="preserve">The project has a strong risk profile in terms of overall risk allocation and mitigation. Key risks have been identified and equitably shared to reduce the overall risk profile. There is a high degree of certainty that the proposed risk sharing will generate substantial private sector interest. However, </t>
  </si>
  <si>
    <t xml:space="preserve">The project has an strong risk profile in terms of overall risk allocation and mitigation.Overall the project has an equitable risk sharing structure, which is likely to attract private sector investors. However, </t>
  </si>
  <si>
    <t xml:space="preserve">On an overall basis, the project has an equitable risk sharing arrangement. However, </t>
  </si>
  <si>
    <t xml:space="preserve">On an overall basis, the project has an adequate risk sharing arrangement. However, </t>
  </si>
  <si>
    <t xml:space="preserve">On an overall basis, the project has marginally adequate risk sharing arrangement.  In addition, </t>
  </si>
  <si>
    <t xml:space="preserve"> There is significant scope for improvement, without which the project may not succeed. Please prepare a clear strategy to address it(them). Practioners should excercise caution while proceeding forward.</t>
  </si>
  <si>
    <t>The risk sharing arrangement will require restructuring and reassessment  before it can be taken forward. Please prepare a clear strategy to address it(them). Practioners should excercise caution while proceeding forward.</t>
  </si>
  <si>
    <t xml:space="preserve">There is an imbalance or  high level of uncertainty associated with the risk sharing arrangement. In addition, </t>
  </si>
  <si>
    <t xml:space="preserve">The project's potential to be developed as a PPP is questionable. There is an imbalance or high level of uncertainty associated with the risk sharing arrangement. In addition, </t>
  </si>
  <si>
    <t xml:space="preserve"> The risk sharing arrangement will require subsantial restructuring and reassessment  improvements for the project to succeed as a PPP. Please address the weakness(es) to restructure and reassess the project. Practioners should excercise caution while proceeding forward.</t>
  </si>
  <si>
    <t>The risk sharing arrangement would require to be substantially reconfigured and reassessed before it can be considered further. Please address the weakness(es) to restructure and reassess the project. Practioners should excercise caution while proceeding forward.</t>
  </si>
  <si>
    <t xml:space="preserve">The project cannot be developed as a PPP. The risk sharing arrangement appears deficient in several areas and would require to be substantially reconfigured and assessed afresh. In addition, </t>
  </si>
  <si>
    <t>The risk sharing arrangment would require to be substantially reconfigured and assessed afresh.Do not proceed to feasibility study stage in the present state of the project. Practioners should excercise caution while proceeding forward.</t>
  </si>
  <si>
    <t>Score Constraints for Potential Deal Breakers triggered</t>
  </si>
  <si>
    <t>Tolerance Factor</t>
  </si>
  <si>
    <t>If the % of Potential Deal Breakers triggered (negative scores) is above</t>
  </si>
  <si>
    <t>Max Forced Score</t>
  </si>
  <si>
    <t>The project is an excellent fit with strategic suitability. It strongly aligns with government priorities. The project has been scoped out based on clear articulation of service needs and after examining various service delivery options.</t>
  </si>
  <si>
    <t>It appears deficient in several areas and would require to be substantially reconfigured and assessed afresh.</t>
  </si>
  <si>
    <t xml:space="preserve">The project appears infeasibile and deficient to be considered in its present form. In addition, </t>
  </si>
  <si>
    <t xml:space="preserve">  </t>
  </si>
  <si>
    <t/>
  </si>
  <si>
    <t>Will communities within the area of influence of the project be able to share direct or indirect economic benefits from the project?</t>
  </si>
  <si>
    <t xml:space="preserve">Will financial close be a condition precedent to the effectiveness of the PPP agreement? </t>
  </si>
  <si>
    <t>Are guarantees or payment security measures or other cash contingency measures envisaged to support the PPP project in obtaining timely payments in relation to the payment obligations of the contracting authority?</t>
  </si>
  <si>
    <t>Have all the costs related to foreign exchange risk been factored into the financial assessment?</t>
  </si>
  <si>
    <t xml:space="preserve">Will there be contractual measures to ensure that the project financials are reset in the event of delays in executing mitigation for reasons beyond the control of the project company? </t>
  </si>
  <si>
    <t xml:space="preserve">Is there a clear rationale for government support that is consistent with applicable laws and government support policies?
</t>
  </si>
  <si>
    <t>Is there a consensus on users’ and stakeholders’ expectations from the project?</t>
  </si>
  <si>
    <t>Does the technical solution clearly address the service need in a cost-effective and affordable manner?</t>
  </si>
  <si>
    <t>Is there a clear description of the technical features of the project?</t>
  </si>
  <si>
    <t>Is there support for the project from affected communities and key stakeholders?</t>
  </si>
  <si>
    <t>Are there any restrictions on foreign exchange or capital movements that may limit the project’s access to finance?</t>
  </si>
  <si>
    <t>If the public sector needs to acquire land, has it identified suitable parcel(s)?</t>
  </si>
  <si>
    <t xml:space="preserve">Will the PPP agreement have provision of 100% unencumbered land as a condition precedent? </t>
  </si>
  <si>
    <t>Will land acquisition lead to substantial involuntary resettlement?</t>
  </si>
  <si>
    <t>Will the project need to acquire forest or protected land?</t>
  </si>
  <si>
    <t>Have similar PPP projects achieved financial close in the country or region?</t>
  </si>
  <si>
    <t>Is the project likely to be based on technology that has been proven commercially in similar environments previously?</t>
  </si>
  <si>
    <t xml:space="preserve">Are payments to the private sector linked to performance and based on easily measurable and quantifiable outputs? </t>
  </si>
  <si>
    <t>Are the modeling assumptions backed by historical or empirical data?</t>
  </si>
  <si>
    <t>Has the contracting agency budgeted funds, or does it have access to funds, to complete project preparation? This includes the costs of preparing required studies, securing land, resettlement costs, and environmental and social impact cost mitigation.</t>
  </si>
  <si>
    <t>Is the contracting agency aware of the requirements for licenses, approvals and permits in case the project covers multiple jurisdictions?</t>
  </si>
  <si>
    <t xml:space="preserve">Will the PPP project have independent engineers or consultants to oversee the project's construction? </t>
  </si>
  <si>
    <t>J</t>
  </si>
  <si>
    <t>Please select the responses to the questions from Yes/No/ Uncertain/Not Applicable/Skip</t>
  </si>
  <si>
    <t xml:space="preserve">Altering threshold limits specified for overarching score constraints </t>
  </si>
  <si>
    <t>Altering the default threshold constraining the Overall Project Score</t>
  </si>
  <si>
    <t>B56:N61</t>
  </si>
  <si>
    <t>L59, M59:N61</t>
  </si>
  <si>
    <t>B62:N65</t>
  </si>
  <si>
    <t>L64, N64</t>
  </si>
  <si>
    <t xml:space="preserve">Step 1: Unhide the Admin sheet
Step 2: Go to the location cell reference
Step 3: Input the desired lower limit in the single yellow shaded cell 
Step 4: Input the desired upper limits in the yellow shaded cells                                                                                                                                                                                                                                               Step 5: Input the desired score constraints in the yellow shaded cells                                                                                                                                                                                                                                                                                                                                                                                                       </t>
  </si>
  <si>
    <t xml:space="preserve">Step 1: Unhide the Admin sheet
Step 2: Go to the location cell reference
Step 3: Input the desired threshold value in the yellow shaded cell 
Step 4: Input the desired Forced Score in the yellow shaded cell                                                                                                                                                                                                                                                                                                                                                                                                           </t>
  </si>
  <si>
    <t>Some sub-parameters are scored based on user responses to questions in the parameter sheet and the information entered in the Basic project data sheet.</t>
  </si>
  <si>
    <t>Score Constraints for select Parameters in case of weak score of one or more of their Sub Parameters</t>
  </si>
  <si>
    <t>Applicable only for the parameter - Risk Assessment</t>
  </si>
  <si>
    <t>Applicable only for parameters - Risk Assessment, PPP Suitability and Fiscal Affordability</t>
  </si>
  <si>
    <t>Sub Parameters</t>
  </si>
  <si>
    <t>Sum</t>
  </si>
  <si>
    <t>Applicable Forced Score</t>
  </si>
  <si>
    <t>V. Fiscal Affordability Assessment</t>
  </si>
  <si>
    <t>VI. Government's Institutional Capability Assessment</t>
  </si>
  <si>
    <t>Government's Institutional Capability Assessment Summary</t>
  </si>
  <si>
    <t xml:space="preserve">1. The input table allows the user to specify score constraints to restrict the maximum achievable score on sub-parameters where a high proportion of responses are marked in negative, uncertain or are skipped. 
2. Similarly, the maximum forced Project Score when a Potential Deal Breaker Condition gets triggered can be specified. The maximum score will be pro-rated down for correspondingly higher number of Potential Deal Breaker Conditions triggered.
3. For the Parameters - Risk Assessment, PPP Suitability and Fiscal Affordability, a maximum forced Parameter Score is applied when one or more of their respective Sub Parameters have a weak score. This is to reflect the inherent weakness in the Parameters resulting from critical weaknesses in their respective constituents. </t>
  </si>
  <si>
    <t>Any one sub parameter's score is</t>
  </si>
  <si>
    <t>Any two or more sub parameters have scores</t>
  </si>
  <si>
    <t>Not used</t>
  </si>
  <si>
    <t xml:space="preserve">Thereafter, provide responses to questions in Parameter sheets I to VI, from the dropdown menu of options. 
I. Strategic Suitability
II. Preliminary Feasibility
III. Risk Assessment
IV. PPP Suitability
V. Fiscal Affordability
VI. Institutional Capability 
</t>
  </si>
  <si>
    <t xml:space="preserve">The user shall respond to all questions in the parameter sheets and the responses can be;
1) YES: the user agrees with the question statement.
2) NO: the user disagrees with the question statement.
3) UNCERTAIN: the response to the question statement is not a definite NO and the user is unsure of it being a definite YES.
4) NOT APPLICABLE (N/A) : the question statement does not apply to the project.
5) SKIP: the question statement applies to the project, but there is insufficient information to choose an informed response.
</t>
  </si>
  <si>
    <t>Providing a ‘SKIP’ response to several questions in a sub-parameter will result in scores getting restricted for the sub-parameter. For example, a maximum score of 2 for 60%-75% skipped responses; a maximum score of 1.5 for 75.1%-90% skipped responses; and a maximum score of 1 for 90.1%-100% skipped responses.</t>
  </si>
  <si>
    <t>Questions marked in red coloured font are potential deal breaker conditions. Responding to these questions with a negative response beyond a threshold (or tolerance percentage, for example 25%) will result in scores getting restricted to less than 2 or weak category for the entire project. The scores will get prorated down for correspondingly higher number of potential deal breaker conditions triggered.</t>
  </si>
  <si>
    <t>Some sub-parameters use a combination of qualitative and quantitative scoring to arrive at the final score for the sub-parameter. The quantitative scoring process for the sub-parameter gets activated when the user provides numerical information on the project in the Basic Project Data sheet. The tool will compute scores based only on qualitative scoring process, in case the numerical information is not provided in the Basic Project Data sheet.</t>
  </si>
  <si>
    <t>‘NO’ response to any of the prerequisite conditions in the Basic Project Data sheet will trigger a warning to the user to reexamine. The overall project score in the dashboard will stand reduced to zero, although specific parameter scores would be available to the user to assess the project's strengths and weaknesses in remaining areas. It is anticipated that this will help the user in anticipating issues and preparing a strategy or a path forward to resolving them.</t>
  </si>
  <si>
    <t>The results of the screening exercise can be viewed in the Dashboard and the Detailed Output sheets</t>
  </si>
  <si>
    <t>For customizing the tool, the User will need to unhide the Admin and Data Analysis sheets and follow the instructions listed in Customization sheet.</t>
  </si>
  <si>
    <t xml:space="preserve">The PPP Screening tool (PST) is for preliminary screening of projects to determine their potential suitability for PPP procurement. The PST evaluates projects on qualitative and quantitative variables assuming a fair level of work has been done on the project, including but not limited to high level/ prefeasibility studies  - technical, economic, financial, legal, and environmental analysis; site checks; fiscal and budget checks; political economy considerations; clear articulation of the need for the project; initial market checks; preliminary risk analysis; qualitative VFM check; and so on. The PST does not substantiate the accuracy of the information provided by the user nor can the PST replace a full-scale feasibility study. The tool identifies the strength of a project to be undertaken as a PPP, it does not prioritize projects. The PST provides a first level of assessment and gives an indication to the user if the project can be evaluated in greater detail. A  favourable score indicated by the PST should be followed up with detailed studies. This tool can also be used as a decision tool or checklist at the feasibility stage, i.e. as an aid for deciding on whether the project can be taken forward to tender.
</t>
  </si>
  <si>
    <t>User shall provide inputs in blue colored cells</t>
  </si>
  <si>
    <t>Project-specific data need to be provided in the input boxes highlighted in blue.</t>
  </si>
  <si>
    <t>Respond to questions via the from drop-down menu options in the parameter sheet.</t>
  </si>
  <si>
    <t>Explanation of Project Profile</t>
  </si>
  <si>
    <r>
      <t xml:space="preserve">Please </t>
    </r>
    <r>
      <rPr>
        <b/>
        <sz val="8"/>
        <rFont val="Calibri"/>
        <family val="2"/>
        <scheme val="minor"/>
      </rPr>
      <t xml:space="preserve">select </t>
    </r>
    <r>
      <rPr>
        <sz val="8"/>
        <rFont val="Calibri"/>
        <family val="2"/>
        <scheme val="minor"/>
      </rPr>
      <t xml:space="preserve">from any of the three options for project-type in the drop-down menu: 
(i) </t>
    </r>
    <r>
      <rPr>
        <b/>
        <sz val="8"/>
        <rFont val="Calibri"/>
        <family val="2"/>
        <scheme val="minor"/>
      </rPr>
      <t>Construction, operation &amp; maintenance</t>
    </r>
    <r>
      <rPr>
        <sz val="8"/>
        <rFont val="Calibri"/>
        <family val="2"/>
        <scheme val="minor"/>
      </rPr>
      <t xml:space="preserve"> for design-build-finance-operate-maintain (DBFOM), DBFM, DBOM, Public Finance Initiative (PFI) type of projects;
(ii) </t>
    </r>
    <r>
      <rPr>
        <b/>
        <sz val="8"/>
        <rFont val="Calibri"/>
        <family val="2"/>
        <scheme val="minor"/>
      </rPr>
      <t xml:space="preserve">Operations &amp; maintenance </t>
    </r>
    <r>
      <rPr>
        <sz val="8"/>
        <rFont val="Calibri"/>
        <family val="2"/>
        <scheme val="minor"/>
      </rPr>
      <t xml:space="preserve">for projects that are already constructed and need to be operated and maintained; these are long term management contracts or service contracts; 
(iii) </t>
    </r>
    <r>
      <rPr>
        <b/>
        <sz val="8"/>
        <rFont val="Calibri"/>
        <family val="2"/>
        <scheme val="minor"/>
      </rPr>
      <t>Construction</t>
    </r>
    <r>
      <rPr>
        <sz val="8"/>
        <rFont val="Calibri"/>
        <family val="2"/>
        <scheme val="minor"/>
      </rPr>
      <t xml:space="preserve"> for besign build (DB) or design build finance (DBF) type of projects that require only construction.
</t>
    </r>
    <r>
      <rPr>
        <b/>
        <sz val="8"/>
        <rFont val="Calibri"/>
        <family val="2"/>
        <scheme val="minor"/>
      </rPr>
      <t xml:space="preserve">Project size </t>
    </r>
    <r>
      <rPr>
        <sz val="8"/>
        <rFont val="Calibri"/>
        <family val="2"/>
        <scheme val="minor"/>
      </rPr>
      <t xml:space="preserve">is the capital expenditure (capex) incurred on the project until the commissioning of the asset. Capex includes all engineering, procurement and commissioning costs, plus soft costs like preliminary and preoperative expenses, provisions towards escalations and contingencies, financing expenses, and so forth. The costs of acquiring land is considered part of Capex if the land is procured by the project company. The cost of land for the project can be excluded from the capex, if the land is procured by a government agency and handed over to the project company free of cost or on a lease, or on a concession/ license fee for the project.
</t>
    </r>
  </si>
  <si>
    <t xml:space="preserve">These are essential conditions that need to be satisfied for proceeding with the project through the PPP procurement route. '‘No’' response to any of these conditions will trigger a warning, and the overall project score will be restricted to zero. The user will need to address the issues before taking up the project through the PPP screening process. However, the user can continue with the evaluation and assess the project at the parameter level. This will help the user to identify other areas of improvement in the project. </t>
  </si>
  <si>
    <t>Explanation of Revenue Profile</t>
  </si>
  <si>
    <r>
      <rPr>
        <b/>
        <sz val="8"/>
        <rFont val="Calibri"/>
        <family val="2"/>
        <scheme val="minor"/>
      </rPr>
      <t xml:space="preserve">Choose </t>
    </r>
    <r>
      <rPr>
        <sz val="8"/>
        <rFont val="Calibri"/>
        <family val="2"/>
        <scheme val="minor"/>
      </rPr>
      <t>any one of the three options that represents the revenue or income profile of the project during operations: (i) u</t>
    </r>
    <r>
      <rPr>
        <b/>
        <sz val="8"/>
        <rFont val="Calibri"/>
        <family val="2"/>
        <scheme val="minor"/>
      </rPr>
      <t>ser charges</t>
    </r>
    <r>
      <rPr>
        <sz val="8"/>
        <rFont val="Calibri"/>
        <family val="2"/>
        <scheme val="minor"/>
      </rPr>
      <t>, where project revenue is fully derived from tariffs paid by users or off-takers; (ii) a</t>
    </r>
    <r>
      <rPr>
        <b/>
        <sz val="8"/>
        <rFont val="Calibri"/>
        <family val="2"/>
        <scheme val="minor"/>
      </rPr>
      <t>vailability payments</t>
    </r>
    <r>
      <rPr>
        <sz val="8"/>
        <rFont val="Calibri"/>
        <family val="2"/>
        <scheme val="minor"/>
      </rPr>
      <t xml:space="preserve">, where the project revenue is fully derived from government payments linked to the availability of the project facility, outputs or capacity; or (iii) </t>
    </r>
    <r>
      <rPr>
        <b/>
        <sz val="8"/>
        <rFont val="Calibri"/>
        <family val="2"/>
        <scheme val="minor"/>
      </rPr>
      <t>hybrid payments</t>
    </r>
    <r>
      <rPr>
        <sz val="8"/>
        <rFont val="Calibri"/>
        <family val="2"/>
        <scheme val="minor"/>
      </rPr>
      <t xml:space="preserve">, where project revenue is a combination of user charges and availability payments. 
The user shall also provide the percentage share of availability payments to the total revenues of the project if this option is selected. The percentage is computed as = (total availability payment / (total revenues) x 100.
</t>
    </r>
    <r>
      <rPr>
        <b/>
        <sz val="8"/>
        <rFont val="Calibri"/>
        <family val="2"/>
        <scheme val="minor"/>
      </rPr>
      <t>Revenue or incomes from lease rentals, recurring income from commercial land exploitation rights, advertisement rights</t>
    </r>
    <r>
      <rPr>
        <sz val="8"/>
        <rFont val="Calibri"/>
        <family val="2"/>
        <scheme val="minor"/>
      </rPr>
      <t>, and so forth can be considered as part of user charges. 
Indirect government support in the form of additional land exploitation rights, transfer of real estate development rights, and so forth that are of the nature of capital income can be excluded in the computation of revenue or incomes.</t>
    </r>
  </si>
  <si>
    <t>Explanation of Government Support</t>
  </si>
  <si>
    <r>
      <rPr>
        <b/>
        <sz val="8"/>
        <rFont val="Calibri"/>
        <family val="2"/>
        <scheme val="minor"/>
      </rPr>
      <t>Choose '‘Yes’'</t>
    </r>
    <r>
      <rPr>
        <sz val="8"/>
        <rFont val="Calibri"/>
        <family val="2"/>
        <scheme val="minor"/>
      </rPr>
      <t xml:space="preserve"> </t>
    </r>
    <r>
      <rPr>
        <b/>
        <sz val="8"/>
        <rFont val="Calibri"/>
        <family val="2"/>
        <scheme val="minor"/>
      </rPr>
      <t>if the project requires government support</t>
    </r>
    <r>
      <rPr>
        <sz val="8"/>
        <rFont val="Calibri"/>
        <family val="2"/>
        <scheme val="minor"/>
      </rPr>
      <t xml:space="preserve">.  Government support is computed in net present value (NPV) terms as a percentage of the nominal gross domestic product (GDP) of the country. The numerator and denominator are in NPV . In terms of fiscal significance, the PPP screening tool (PST) considers projects with government commitments less than 0.25% of nominal GDP as projects with moderate fiscal impact. Projects with government commitments of more than 0.50% of GDP are considered projects with high fiscal impact, which reduces the fiscal affordability score.
</t>
    </r>
    <r>
      <rPr>
        <b/>
        <sz val="8"/>
        <rFont val="Calibri"/>
        <family val="2"/>
        <scheme val="minor"/>
      </rPr>
      <t>Direct commitments by the government</t>
    </r>
    <r>
      <rPr>
        <sz val="8"/>
        <rFont val="Calibri"/>
        <family val="2"/>
        <scheme val="minor"/>
      </rPr>
      <t xml:space="preserve">: These are payment commitments where the need for payment is known—these could include an upfront capital payment or regular payments over a specified period of the contract. Examples include, upfront viability payments or viability gap financing, availability payments, output-based grants or unitary payments, public funding support, and so forth.  
</t>
    </r>
    <r>
      <rPr>
        <b/>
        <sz val="8"/>
        <rFont val="Calibri"/>
        <family val="2"/>
        <scheme val="minor"/>
      </rPr>
      <t>Contingent liabilities</t>
    </r>
    <r>
      <rPr>
        <sz val="8"/>
        <rFont val="Calibri"/>
        <family val="2"/>
        <scheme val="minor"/>
      </rPr>
      <t xml:space="preserve">: These are obligations that arise from risk-specific assurances provided by the implementing agency or the government to assure the PPP project against certain unforeseen outcomes. Contingent liabilities arise from minimum revenue guarantees, foreign exchange guarantees, credit guarantees, inflation risk guarantees, counter-party payment guarantees, and others. The value and timing of the payment cannot be firmly ascertained but can be estimated based on risk assessment techniques. 
</t>
    </r>
    <r>
      <rPr>
        <b/>
        <sz val="8"/>
        <rFont val="Calibri"/>
        <family val="2"/>
        <scheme val="minor"/>
      </rPr>
      <t>Uncertain response</t>
    </r>
    <r>
      <rPr>
        <sz val="8"/>
        <rFont val="Calibri"/>
        <family val="2"/>
        <scheme val="minor"/>
      </rPr>
      <t xml:space="preserve">. The user will need to input 0% for direct commitments and contingent liabilities, if the project requires government support and estimates have not been quantified yet. Then the tool will evaluate based on the qualitative information provided by the user.  </t>
    </r>
    <r>
      <rPr>
        <b/>
        <sz val="8"/>
        <rFont val="Calibri"/>
        <family val="2"/>
        <scheme val="minor"/>
      </rPr>
      <t xml:space="preserve">Choose ''No'' </t>
    </r>
    <r>
      <rPr>
        <sz val="8"/>
        <rFont val="Calibri"/>
        <family val="2"/>
        <scheme val="minor"/>
      </rPr>
      <t xml:space="preserve">if the project does not require government support. These are projects where user charge revenues are the main source of income for the project. 
</t>
    </r>
    <r>
      <rPr>
        <b/>
        <sz val="8"/>
        <rFont val="Calibri"/>
        <family val="2"/>
        <scheme val="minor"/>
      </rPr>
      <t xml:space="preserve">Choose '‘Yes'’, if the project provides upside benefits to the contracting authority </t>
    </r>
    <r>
      <rPr>
        <sz val="8"/>
        <rFont val="Calibri"/>
        <family val="2"/>
        <scheme val="minor"/>
      </rPr>
      <t xml:space="preserve">and quantify the government support as a negative percentage. </t>
    </r>
    <r>
      <rPr>
        <b/>
        <sz val="8"/>
        <rFont val="Calibri"/>
        <family val="2"/>
        <scheme val="minor"/>
      </rPr>
      <t xml:space="preserve">Negative percentage </t>
    </r>
    <r>
      <rPr>
        <sz val="8"/>
        <rFont val="Calibri"/>
        <family val="2"/>
        <scheme val="minor"/>
      </rPr>
      <t>implies that the project provides revenues to the government. Examples include - revenue share, concession fee, fixed annual payments, and so forth. The method for computation of benefits will be similar to the computation of direct commitments of government support, except that the upside benefits will be inputted in negative percentage values.</t>
    </r>
  </si>
  <si>
    <t>Explanation of Land Status</t>
  </si>
  <si>
    <r>
      <rPr>
        <b/>
        <sz val="8"/>
        <rFont val="Calibri"/>
        <family val="2"/>
        <scheme val="minor"/>
      </rPr>
      <t>Land requirement</t>
    </r>
    <r>
      <rPr>
        <sz val="8"/>
        <rFont val="Calibri"/>
        <family val="2"/>
        <scheme val="minor"/>
      </rPr>
      <t xml:space="preserve">: The user will provide information on the status of land required for the project. 
</t>
    </r>
    <r>
      <rPr>
        <b/>
        <sz val="8"/>
        <rFont val="Calibri"/>
        <family val="2"/>
        <scheme val="minor"/>
      </rPr>
      <t>Is there a need for land acquisition?</t>
    </r>
    <r>
      <rPr>
        <sz val="8"/>
        <rFont val="Calibri"/>
        <family val="2"/>
        <scheme val="minor"/>
      </rPr>
      <t xml:space="preserve"> Select '‘Yes’', '‘No’' or '‘Uncertain’'. Choose No when the project does not need land. For example, it may be an operations and maintenance project or a refurbishment project that already has land. Choose Uncertain when there is a need to acquire land but the details are not yet available. In this case, the analysis will only be based on the qualitative responses of the user. Choose Yes when there is a need to acquire land and the details are available. Thereafter, (i) the user will need to indicate the </t>
    </r>
    <r>
      <rPr>
        <b/>
        <sz val="8"/>
        <rFont val="Calibri"/>
        <family val="2"/>
        <scheme val="minor"/>
      </rPr>
      <t xml:space="preserve">estimate of the total area of land required </t>
    </r>
    <r>
      <rPr>
        <sz val="8"/>
        <rFont val="Calibri"/>
        <family val="2"/>
        <scheme val="minor"/>
      </rPr>
      <t xml:space="preserve">for the project; the quantum of land that is presently available with the government for the project. (ii)  The tool will compute the remaining land to be acquired based on a formula.
</t>
    </r>
    <r>
      <rPr>
        <b/>
        <sz val="8"/>
        <rFont val="Calibri"/>
        <family val="2"/>
        <scheme val="minor"/>
      </rPr>
      <t>Land owners and project affected parties</t>
    </r>
    <r>
      <rPr>
        <sz val="8"/>
        <rFont val="Calibri"/>
        <family val="2"/>
        <scheme val="minor"/>
      </rPr>
      <t xml:space="preserve">: An indicative estimate of potential land owners that would be affected by the land acquisition and other project affected parties needs to be provided by the user. A figure of zero or blank will be treated as ‘Uncertain’ by the tool and thereafter the analysis would only be based on on the qualitative responses of the user.
</t>
    </r>
    <r>
      <rPr>
        <b/>
        <sz val="8"/>
        <rFont val="Calibri"/>
        <family val="2"/>
        <scheme val="minor"/>
      </rPr>
      <t>Who will acquire land?</t>
    </r>
    <r>
      <rPr>
        <sz val="8"/>
        <rFont val="Calibri"/>
        <family val="2"/>
        <scheme val="minor"/>
      </rPr>
      <t xml:space="preserve">: Provide information on the agency responsible for acquiring land. Select '‘Public sector’' if the government will be  responsible for acquiring land; select '‘Private sector’' if it will be the responsibility of the private partner; or select '‘N/A’' if it is not applicable, in which case the tool will not analyze the risk of delays in land acquisition. 
</t>
    </r>
  </si>
  <si>
    <t>Explanation of Value for Money (VFM)</t>
  </si>
  <si>
    <r>
      <rPr>
        <b/>
        <sz val="8"/>
        <rFont val="Calibri"/>
        <family val="2"/>
        <scheme val="minor"/>
      </rPr>
      <t xml:space="preserve">VFM </t>
    </r>
    <r>
      <rPr>
        <sz val="8"/>
        <rFont val="Calibri"/>
        <family val="2"/>
        <scheme val="minor"/>
      </rPr>
      <t xml:space="preserve">compares the proportion of risk adjusted cost savings between a project that is delivered by the public sector, that is, a risk-adjusted public-sector benchmark (PSB), as against the project delivery via a PPP.  </t>
    </r>
    <r>
      <rPr>
        <b/>
        <sz val="8"/>
        <rFont val="Calibri"/>
        <family val="2"/>
        <scheme val="minor"/>
      </rPr>
      <t xml:space="preserve">VFM percentage </t>
    </r>
    <r>
      <rPr>
        <sz val="8"/>
        <rFont val="Calibri"/>
        <family val="2"/>
        <scheme val="minor"/>
      </rPr>
      <t>=</t>
    </r>
    <r>
      <rPr>
        <b/>
        <sz val="8"/>
        <rFont val="Calibri"/>
        <family val="2"/>
        <scheme val="minor"/>
      </rPr>
      <t xml:space="preserve"> </t>
    </r>
    <r>
      <rPr>
        <sz val="8"/>
        <rFont val="Calibri"/>
        <family val="2"/>
        <scheme val="minor"/>
      </rPr>
      <t xml:space="preserve">(cost of risk-adjusted PSB – cost of PPP)/ cost of risk-adjusted PSB x 100. </t>
    </r>
    <r>
      <rPr>
        <b/>
        <sz val="8"/>
        <rFont val="Calibri"/>
        <family val="2"/>
        <scheme val="minor"/>
      </rPr>
      <t xml:space="preserve">Threshold VFM </t>
    </r>
    <r>
      <rPr>
        <sz val="8"/>
        <rFont val="Calibri"/>
        <family val="2"/>
        <scheme val="minor"/>
      </rPr>
      <t>percentage is the minimum expectation of the government below which the government would be neutral if the project was taken up for delivery by the public sector or the private partner. Usually, this reference VFM is taken as 10%.
Please input 0% in both cells if the user is uncertain or has not quantified the VFM. Then the tool will ignore these values and deliver results based on qualitative VFM assessment.</t>
    </r>
  </si>
  <si>
    <t>Explanation of Return Expectations</t>
  </si>
  <si>
    <r>
      <rPr>
        <b/>
        <sz val="8"/>
        <color theme="1"/>
        <rFont val="Calibri"/>
        <family val="2"/>
        <scheme val="minor"/>
      </rPr>
      <t>Project internal rate of return (IRR) base case:</t>
    </r>
    <r>
      <rPr>
        <sz val="8"/>
        <color theme="1"/>
        <rFont val="Calibri"/>
        <family val="2"/>
        <scheme val="minor"/>
      </rPr>
      <t xml:space="preserve"> refers to the project’s financial IRR, which represents the overall returns to all project investors. It is usually taken from the most likely or base-case scenario. </t>
    </r>
    <r>
      <rPr>
        <b/>
        <sz val="8"/>
        <color theme="1"/>
        <rFont val="Calibri"/>
        <family val="2"/>
        <scheme val="minor"/>
      </rPr>
      <t>Project IRR (stress case)</t>
    </r>
    <r>
      <rPr>
        <sz val="8"/>
        <color theme="1"/>
        <rFont val="Calibri"/>
        <family val="2"/>
        <scheme val="minor"/>
      </rPr>
      <t xml:space="preserve">: reflects the project IRR in the worst-case scenario. This is to gauge how the investor returns will be impacted if the project came under stress. Usually, stress scenarios are built by varying key assumptions related to macro-economic and major project-specific variables that could have an adverse impact on the project cost, revenues and operating costs. </t>
    </r>
    <r>
      <rPr>
        <b/>
        <sz val="8"/>
        <color theme="1"/>
        <rFont val="Calibri"/>
        <family val="2"/>
        <scheme val="minor"/>
      </rPr>
      <t>Threshold project IRR</t>
    </r>
    <r>
      <rPr>
        <sz val="8"/>
        <color theme="1"/>
        <rFont val="Calibri"/>
        <family val="2"/>
        <scheme val="minor"/>
      </rPr>
      <t xml:space="preserve"> represents a threshold reference rate below which the project is likely to be unviable. Usually, the threshold IRR is taken to be the percentage equal to the weighted average cost of capital (WACC) for the project.
</t>
    </r>
    <r>
      <rPr>
        <b/>
        <sz val="8"/>
        <color theme="1"/>
        <rFont val="Calibri"/>
        <family val="2"/>
        <scheme val="minor"/>
      </rPr>
      <t xml:space="preserve">Minimum debt service coverage ratio (DSCR) base case: </t>
    </r>
    <r>
      <rPr>
        <sz val="8"/>
        <color theme="1"/>
        <rFont val="Calibri"/>
        <family val="2"/>
        <scheme val="minor"/>
      </rPr>
      <t xml:space="preserve">represents the ability of the project cash flows to service debt obligations in any given year during the tenure of the debt in the project. Usually, the base case value is placed here. </t>
    </r>
    <r>
      <rPr>
        <b/>
        <sz val="8"/>
        <color theme="1"/>
        <rFont val="Calibri"/>
        <family val="2"/>
        <scheme val="minor"/>
      </rPr>
      <t>Minimum DSCR (stress case)</t>
    </r>
    <r>
      <rPr>
        <sz val="8"/>
        <color theme="1"/>
        <rFont val="Calibri"/>
        <family val="2"/>
        <scheme val="minor"/>
      </rPr>
      <t xml:space="preserve">: reflects the computation of minimum DSCR in the worst-case scenario. </t>
    </r>
    <r>
      <rPr>
        <b/>
        <sz val="8"/>
        <color theme="1"/>
        <rFont val="Calibri"/>
        <family val="2"/>
        <scheme val="minor"/>
      </rPr>
      <t>Threshold minimum DSCR:</t>
    </r>
    <r>
      <rPr>
        <sz val="8"/>
        <color theme="1"/>
        <rFont val="Calibri"/>
        <family val="2"/>
        <scheme val="minor"/>
      </rPr>
      <t xml:space="preserve"> is the minimum level DSCR that is expected by lenders in the base case scenario. 
</t>
    </r>
    <r>
      <rPr>
        <b/>
        <sz val="8"/>
        <color theme="1"/>
        <rFont val="Calibri"/>
        <family val="2"/>
        <scheme val="minor"/>
      </rPr>
      <t>Economic IRR</t>
    </r>
    <r>
      <rPr>
        <sz val="8"/>
        <color theme="1"/>
        <rFont val="Calibri"/>
        <family val="2"/>
        <scheme val="minor"/>
      </rPr>
      <t xml:space="preserve"> is the economic rate of return of the project estimated after considering all costs and benefits from the project to the society. 
</t>
    </r>
    <r>
      <rPr>
        <b/>
        <sz val="8"/>
        <color theme="1"/>
        <rFont val="Calibri"/>
        <family val="2"/>
        <scheme val="minor"/>
      </rPr>
      <t>Threshold economic IRR:</t>
    </r>
    <r>
      <rPr>
        <sz val="8"/>
        <color theme="1"/>
        <rFont val="Calibri"/>
        <family val="2"/>
        <scheme val="minor"/>
      </rPr>
      <t xml:space="preserve"> represents a threshold reference economic IRR rate that justifies the project as economically sustainable. Usually, the threshold economic IRR considered is 12%.
</t>
    </r>
    <r>
      <rPr>
        <b/>
        <sz val="8"/>
        <color theme="1"/>
        <rFont val="Calibri"/>
        <family val="2"/>
        <scheme val="minor"/>
      </rPr>
      <t>Uncertain response</t>
    </r>
    <r>
      <rPr>
        <sz val="8"/>
        <color theme="1"/>
        <rFont val="Calibri"/>
        <family val="2"/>
        <scheme val="minor"/>
      </rPr>
      <t xml:space="preserve">: In case financial estimates are not available, please input 0% for IRR values and 0 for DSCR values. Similarly, input 0% for economic IRR values if preliminary estimates for economic returns are not available. The tool shall then rely on qualitative analysis to evaluate the relevant parameters. </t>
    </r>
  </si>
  <si>
    <t>Explanation of Foreign Exchange Risk</t>
  </si>
  <si>
    <t xml:space="preserve">Choose whether the project is exposed to foreign exchange risk or not, for example, if revenues are in local currency and capital investment service obligations are in foreign currency. Input the last five-year average depreciation of national currency vis-à-vis the benchmark foreign currency. Typically, the benchmark foreign currency could be the foreign currency of expected financing. Typically, these could include U.S. dollors, euros or British pounds. In case financing is expected in a combination of foreign currencies, then the historical estimates based on a basket of currencies could be used. </t>
  </si>
  <si>
    <t>Explanation of Climate Change and Resilience</t>
  </si>
  <si>
    <r>
      <rPr>
        <b/>
        <sz val="8"/>
        <color theme="1"/>
        <rFont val="Calibri"/>
        <family val="2"/>
        <scheme val="minor"/>
      </rPr>
      <t>1. Expected reduction in green house gas (GHG) emissions once the project is completed</t>
    </r>
    <r>
      <rPr>
        <sz val="8"/>
        <color theme="1"/>
        <rFont val="Calibri"/>
        <family val="2"/>
        <scheme val="minor"/>
      </rPr>
      <t xml:space="preserve">. Select any one of the following options.
</t>
    </r>
    <r>
      <rPr>
        <b/>
        <sz val="8"/>
        <color theme="1"/>
        <rFont val="Calibri"/>
        <family val="2"/>
        <scheme val="minor"/>
      </rPr>
      <t>Net carbon negative</t>
    </r>
    <r>
      <rPr>
        <sz val="8"/>
        <color theme="1"/>
        <rFont val="Calibri"/>
        <family val="2"/>
        <scheme val="minor"/>
      </rPr>
      <t xml:space="preserve">: if the completed project is carbon negative (that is, sequesters more carbon than it produces). Using a completed life-cycle carbon assessment, the project team works to design the project so that it is carbon negative through extensive use of renewable energy and carbon sinks. </t>
    </r>
    <r>
      <rPr>
        <b/>
        <sz val="8"/>
        <color theme="1"/>
        <rFont val="Calibri"/>
        <family val="2"/>
        <scheme val="minor"/>
      </rPr>
      <t>Carbon neutral</t>
    </r>
    <r>
      <rPr>
        <sz val="8"/>
        <color theme="1"/>
        <rFont val="Calibri"/>
        <family val="2"/>
        <scheme val="minor"/>
      </rPr>
      <t xml:space="preserve">: if the completed project is carbon neutral (does not produce any net carbon emissions, that is, a 100% reduction). Using a completed life-cycle carbon assessment, the project team works to design the project so that it is carbon neutral through extensive use of renewable energy and carbon sinks.  </t>
    </r>
    <r>
      <rPr>
        <b/>
        <sz val="8"/>
        <color theme="1"/>
        <rFont val="Calibri"/>
        <family val="2"/>
        <scheme val="minor"/>
      </rPr>
      <t>Potential reduction possible</t>
    </r>
    <r>
      <rPr>
        <sz val="8"/>
        <color theme="1"/>
        <rFont val="Calibri"/>
        <family val="2"/>
        <scheme val="minor"/>
      </rPr>
      <t xml:space="preserve">:  if there is potential for at least 20% GHG reduction from the original base case scenario of the project. In this instance, it can be reasonably expected that the project team will improve the project's design and thereby achieve a reduction in GHG emissions from the original base case, for example, if in the base case the project would have 100 units as GHG emissions, and in the improved project design case the GHG emissions are 80 units. Then it can be stated that by improving the project's design, the potential GHG emissions from the project stand reduced by 20%. </t>
    </r>
    <r>
      <rPr>
        <b/>
        <sz val="8"/>
        <color theme="1"/>
        <rFont val="Calibri"/>
        <family val="2"/>
        <scheme val="minor"/>
      </rPr>
      <t>None of the above</t>
    </r>
    <r>
      <rPr>
        <sz val="8"/>
        <color theme="1"/>
        <rFont val="Calibri"/>
        <family val="2"/>
        <scheme val="minor"/>
      </rPr>
      <t xml:space="preserve">: In case the project will emit GHG and none of the above scenarios is applicable. </t>
    </r>
    <r>
      <rPr>
        <b/>
        <sz val="8"/>
        <color theme="1"/>
        <rFont val="Calibri"/>
        <family val="2"/>
        <scheme val="minor"/>
      </rPr>
      <t>Not used:</t>
    </r>
    <r>
      <rPr>
        <sz val="8"/>
        <color theme="1"/>
        <rFont val="Calibri"/>
        <family val="2"/>
        <scheme val="minor"/>
      </rPr>
      <t xml:space="preserve"> please select this option, in the case that information on GHG is not available.</t>
    </r>
    <r>
      <rPr>
        <b/>
        <sz val="8"/>
        <color theme="1"/>
        <rFont val="Calibri"/>
        <family val="2"/>
        <scheme val="minor"/>
      </rPr>
      <t xml:space="preserve">
2. The project's expected resilience and adaptability to long term climate changes and hazards.</t>
    </r>
    <r>
      <rPr>
        <sz val="8"/>
        <color theme="1"/>
        <rFont val="Calibri"/>
        <family val="2"/>
        <scheme val="minor"/>
      </rPr>
      <t xml:space="preserve"> Select any one of the following options.
</t>
    </r>
    <r>
      <rPr>
        <b/>
        <sz val="8"/>
        <color theme="1"/>
        <rFont val="Calibri"/>
        <family val="2"/>
        <scheme val="minor"/>
      </rPr>
      <t>Project has potential for recovery from previous adverse effects:</t>
    </r>
    <r>
      <rPr>
        <sz val="8"/>
        <color theme="1"/>
        <rFont val="Calibri"/>
        <family val="2"/>
        <scheme val="minor"/>
      </rPr>
      <t xml:space="preserve"> if the project incorporates resilient and adaptive project design and systems that would – mainly restore habitats in a way that reduces the impacts of future disasters referred in (v) below. 
</t>
    </r>
    <r>
      <rPr>
        <b/>
        <sz val="8"/>
        <color theme="1"/>
        <rFont val="Calibri"/>
        <family val="2"/>
        <scheme val="minor"/>
      </rPr>
      <t>Highly resilient and adaptive features:</t>
    </r>
    <r>
      <rPr>
        <sz val="8"/>
        <color theme="1"/>
        <rFont val="Calibri"/>
        <family val="2"/>
        <scheme val="minor"/>
      </rPr>
      <t xml:space="preserve"> if the resilient and adaptive project design and systems incorporates three or more factors mentioned below.
</t>
    </r>
    <r>
      <rPr>
        <b/>
        <sz val="8"/>
        <color theme="1"/>
        <rFont val="Calibri"/>
        <family val="2"/>
        <scheme val="minor"/>
      </rPr>
      <t>Moderately resilient to climate change and hazards:</t>
    </r>
    <r>
      <rPr>
        <sz val="8"/>
        <color theme="1"/>
        <rFont val="Calibri"/>
        <family val="2"/>
        <scheme val="minor"/>
      </rPr>
      <t xml:space="preserve"> if the resilient and adaptive project design and systems incorporates at least one of the factor mentioned below.
</t>
    </r>
    <r>
      <rPr>
        <b/>
        <sz val="8"/>
        <color theme="1"/>
        <rFont val="Calibri"/>
        <family val="2"/>
        <scheme val="minor"/>
      </rPr>
      <t>None of the above</t>
    </r>
    <r>
      <rPr>
        <sz val="8"/>
        <color theme="1"/>
        <rFont val="Calibri"/>
        <family val="2"/>
        <scheme val="minor"/>
      </rPr>
      <t xml:space="preserve">: In case the project has the potential to incorporate some of the resilient and adaptive project design and systems, but has not considered it part of the project.
</t>
    </r>
    <r>
      <rPr>
        <b/>
        <sz val="8"/>
        <color theme="1"/>
        <rFont val="Calibri"/>
        <family val="2"/>
        <scheme val="minor"/>
      </rPr>
      <t>Not used</t>
    </r>
    <r>
      <rPr>
        <sz val="8"/>
        <color theme="1"/>
        <rFont val="Calibri"/>
        <family val="2"/>
        <scheme val="minor"/>
      </rPr>
      <t xml:space="preserve">: please select this option, in the case that information on resilient and adaptive project design and systems is not available.
</t>
    </r>
    <r>
      <rPr>
        <b/>
        <sz val="8"/>
        <color theme="1"/>
        <rFont val="Calibri"/>
        <family val="2"/>
        <scheme val="minor"/>
      </rPr>
      <t>Projects could include resilient and adaptive project design and systems that have considered the following factors</t>
    </r>
    <r>
      <rPr>
        <sz val="8"/>
        <color theme="1"/>
        <rFont val="Calibri"/>
        <family val="2"/>
        <scheme val="minor"/>
      </rPr>
      <t xml:space="preserve">: 
(i) Identification of specific measures taken to address the potential consequences of long-term climate change, such as sea level rise, increased intensity and frequency of extreme weather events, extended droughts, heat waves, increased ambient temperature, and so on. 
(ii) Identification of specific measures taken to address other potential long-term threats such as desertification, water and energy shortages, shortages of other critical materials, and so on. 
(iii) Identification of siting or design features that increase alternative supply options for water, energy, or other materials critical to the operation of the completed project. 
(iv) Natural or human-induced hazards that could include a variety of events, such as wildfires, floods, tornadoes, hurricanes, earthquakes, tsunamis, and human-induced hazards. Research should be undertaken as to the past and projected frequency and severity of these hazards, and the ability of the project design to cope with each possible event.  
(v) Where possible some analysis (if applicable) on how the project could restore habitats in a way that reduces the impacts of future disasters, various strategies used and how they minimize the risk of future hazards using environmental restoration.
</t>
    </r>
    <r>
      <rPr>
        <i/>
        <sz val="8"/>
        <color theme="1"/>
        <rFont val="Calibri"/>
        <family val="2"/>
        <scheme val="minor"/>
      </rPr>
      <t xml:space="preserve">Source: </t>
    </r>
    <r>
      <rPr>
        <sz val="8"/>
        <color theme="1"/>
        <rFont val="Calibri"/>
        <family val="2"/>
        <scheme val="minor"/>
      </rPr>
      <t>Adapted from Envision Manual available at https://sustainableinfrastructure.org/
Envision is a guidance and rating system for sustainable infrastructure.  It was developed by the Institute for Sustainable Infrastructure (ISI) in partnership with the Zofnass Program at the Harvard Graduate School of Design. ISI was founded by the American Council of Engineering Companies, the American Public Works Association, and the American Society of Civil Engineers. For further details, please refer to the Envision Manual available at https://sustainableinfrastructure.org/</t>
    </r>
  </si>
  <si>
    <r>
      <rPr>
        <b/>
        <sz val="8"/>
        <color theme="0"/>
        <rFont val="Calibri"/>
        <family val="2"/>
        <scheme val="minor"/>
      </rPr>
      <t>Direct commitments</t>
    </r>
    <r>
      <rPr>
        <sz val="8"/>
        <color theme="0"/>
        <rFont val="Calibri"/>
        <family val="2"/>
        <scheme val="minor"/>
      </rPr>
      <t xml:space="preserve"> by government can be computed as = (NPV of government payouts / NPV of nominal GDP for the corresponding period of government payouts) x 100. Example: the direct commitment as % of GDP for an upfront viability payout over three years can be computed as = NPV (P1, P2, P3)/ NPV (G1, G2, G3) x 100; where P1, P2 and P3 are annual payouts and G1, G2 and G3 are the projected nominal GDPs for the years corresponding to the payouts.</t>
    </r>
  </si>
  <si>
    <r>
      <rPr>
        <b/>
        <sz val="8"/>
        <color theme="0"/>
        <rFont val="Calibri"/>
        <family val="2"/>
        <scheme val="minor"/>
      </rPr>
      <t xml:space="preserve">Contingent liabilities </t>
    </r>
    <r>
      <rPr>
        <sz val="8"/>
        <color theme="0"/>
        <rFont val="Calibri"/>
        <family val="2"/>
        <scheme val="minor"/>
      </rPr>
      <t>as % of GDP can be computed as: NPV (P1, P2, P3…. Pn)/ NPV (G1, G2, G3… Gn) x 100; where P1, P2, P3,… Pn are estimated risk assessed annual payouts and G1, G2, G3… Gn are the projected nominal GDPs for the years corresponding to the payouts.</t>
    </r>
  </si>
  <si>
    <t>Main source of project revenues</t>
  </si>
  <si>
    <t>Is government support required for the project?</t>
  </si>
  <si>
    <t>Land unit</t>
  </si>
  <si>
    <t>Is land acquisition required for the project?</t>
  </si>
  <si>
    <t>Total land required for the project</t>
  </si>
  <si>
    <t>Land available for the project</t>
  </si>
  <si>
    <t>Potential land owners and project affected parties</t>
  </si>
  <si>
    <t>Responsibilty of land acquisition</t>
  </si>
  <si>
    <t>Value for Money from the project</t>
  </si>
  <si>
    <t>Project IRR (Base case)</t>
  </si>
  <si>
    <t>Project IRR (Stress case)</t>
  </si>
  <si>
    <t>Minimum DSCR (Base case)</t>
  </si>
  <si>
    <t>Minimum DSCR (Stress case)</t>
  </si>
  <si>
    <t>Threshold minimum DSCR</t>
  </si>
  <si>
    <t>Threshold economic IRR</t>
  </si>
  <si>
    <t>Reduction in Green House Gas (GHG) emissions</t>
  </si>
  <si>
    <r>
      <t xml:space="preserve">The project’s strategic importance and alignment with government priorities are assessed, as under:
</t>
    </r>
    <r>
      <rPr>
        <b/>
        <sz val="10"/>
        <color rgb="FF000000"/>
        <rFont val="Arial"/>
        <family val="2"/>
      </rPr>
      <t xml:space="preserve">Project derived from national plan or strategic documents. </t>
    </r>
    <r>
      <rPr>
        <sz val="10"/>
        <color rgb="FF000000"/>
        <rFont val="Arial"/>
        <family val="2"/>
      </rPr>
      <t xml:space="preserve">These could be one or a combination of national/ subnational/ sectoral/ departmental plans and strategies that articulate the development priorities and provide an indicative nature of the project pipeline. 
Alternatively, projects could be identified through a needs analysis emanating from a policy or strategy document. For large projects, it is advisable that the project is part of a strategic document or plan, which would assure that the government’s scarce resources are optimally deployed.
</t>
    </r>
    <r>
      <rPr>
        <b/>
        <sz val="10"/>
        <color rgb="FF000000"/>
        <rFont val="Arial"/>
        <family val="2"/>
      </rPr>
      <t xml:space="preserve">Strategic importance. </t>
    </r>
    <r>
      <rPr>
        <sz val="10"/>
        <color rgb="FF000000"/>
        <rFont val="Arial"/>
        <family val="2"/>
      </rPr>
      <t xml:space="preserve">Herein, priority should be placed on projects that have the potential to transform a region, which could attract further private investments and lead to substantial economic development of the region. These could be projects that have a high economic multiplier effect in terms of income or investments. The region is defined as the area of influence of the project. The region can be a municipality for an urban water supply project, a hinterland for a port project, or an influence area served by an expressway project, and so forth. 
Typically, development of such projects may be a prerequisite for other projects to develop (driver relationship). This could also include projects that have substantial forward and/or backward linkages with other projects. For example, a toll road or railway line project could improve connectivity to a port, thereby reducing logistics costs or enabling faster evacuation of cargo at the port and/ or supporting port-based industries to an existing port facility. In such a case, the sustenance of one project is closely linked to the development of the new project (linkage relationship).
</t>
    </r>
    <r>
      <rPr>
        <b/>
        <sz val="10"/>
        <color rgb="FF000000"/>
        <rFont val="Arial"/>
        <family val="2"/>
      </rPr>
      <t xml:space="preserve">Improvement in quality of life. </t>
    </r>
    <r>
      <rPr>
        <sz val="10"/>
        <color rgb="FF000000"/>
        <rFont val="Arial"/>
        <family val="2"/>
      </rPr>
      <t xml:space="preserve">This parameter is used to assess the nature of the positive impact that a project has on the quality of life of users/ citizens. This could be through reduced cost of living, facilitated by reduced cost of a service, such as mass transit that may reduce the cost of commuting and save time. 
A project could also substantially improve part of a citizen’s life through a cleaner environment, such as a waste collection and treatment facility. The impact or outcome of the project can aid a practitioner in making comparative assessments to understand the importance of the project in a citizen’s life, that is, livability. 
</t>
    </r>
  </si>
  <si>
    <r>
      <t xml:space="preserve">Infrastructure assets are enablers for the government to meet its service delivery obligations, and not an end in themselves. Hence, the user needs to identify what problem the project is trying to solve, or what service needs to be addressed by the project, while answering the questions.
</t>
    </r>
    <r>
      <rPr>
        <b/>
        <sz val="10"/>
        <color rgb="FF000000"/>
        <rFont val="Arial"/>
        <family val="2"/>
      </rPr>
      <t>Service deficiency.</t>
    </r>
    <r>
      <rPr>
        <sz val="10"/>
        <color rgb="FF000000"/>
        <rFont val="Arial"/>
        <family val="2"/>
      </rPr>
      <t xml:space="preserve"> This highlights the gap between service need and present level of service delivery. Indicative examples of the existence of service deficiency include 
(i) Only 50% of the city gets drinking water for six hours a day. 
(ii) Unaccounted-for water is 60%.
(iii) There is traffic congestion.
(iv) Travel time from point A to point B has doubled in the past 10 years.
</t>
    </r>
    <r>
      <rPr>
        <b/>
        <sz val="10"/>
        <color rgb="FF000000"/>
        <rFont val="Arial"/>
        <family val="2"/>
      </rPr>
      <t xml:space="preserve">Desired service outcome. </t>
    </r>
    <r>
      <rPr>
        <sz val="10"/>
        <color rgb="FF000000"/>
        <rFont val="Arial"/>
        <family val="2"/>
      </rPr>
      <t xml:space="preserve">This is the service outcome expected from a project. The outcome is the effect of the project on the community and helps define the scope of the project. For example, the project could target one or a combination of service outcomes, such as: 
(i) Provide 100% connectivity to all users. 
(ii) Achieve at least 80% collections.
(iii) Meet specified quality standards, such as 24x7 water supply of specified health standards and water pressure. 
(iv) Reduced average travel time from point A to point B to 15 minutes.
</t>
    </r>
    <r>
      <rPr>
        <b/>
        <sz val="10"/>
        <color rgb="FF000000"/>
        <rFont val="Arial"/>
        <family val="2"/>
      </rPr>
      <t xml:space="preserve">Consensus from users/ stakeholders. </t>
    </r>
    <r>
      <rPr>
        <sz val="10"/>
        <color rgb="FF000000"/>
        <rFont val="Arial"/>
        <family val="2"/>
      </rPr>
      <t xml:space="preserve">It is a good practice to consult prospective users and key stakeholders while preparing a project. This will ensure that the user needs are well reflected in defining the service needs to be addressed by the project, as well as specifying the desired service outcomes and then cross-checking whether the proposed service outcomes will indeed meet user needs.
</t>
    </r>
  </si>
  <si>
    <r>
      <t xml:space="preserve">There may be a range of technical solutions available for addressing the service need. The technical solutions may include any one or a combination of the following options:
</t>
    </r>
    <r>
      <rPr>
        <b/>
        <sz val="10"/>
        <color theme="1"/>
        <rFont val="Arial"/>
        <family val="2"/>
      </rPr>
      <t xml:space="preserve">(i) Existing asset options. </t>
    </r>
    <r>
      <rPr>
        <sz val="10"/>
        <color theme="1"/>
        <rFont val="Arial"/>
        <family val="2"/>
      </rPr>
      <t xml:space="preserve">Considering whether existing assets held by the government can be used. This may involve rehabilitation, renewal, enhancement, replacement, adaptation, or reconfiguration of assets.
</t>
    </r>
    <r>
      <rPr>
        <b/>
        <sz val="10"/>
        <color theme="1"/>
        <rFont val="Arial"/>
        <family val="2"/>
      </rPr>
      <t>(ii)</t>
    </r>
    <r>
      <rPr>
        <sz val="10"/>
        <color theme="1"/>
        <rFont val="Arial"/>
        <family val="2"/>
      </rPr>
      <t xml:space="preserve"> </t>
    </r>
    <r>
      <rPr>
        <b/>
        <sz val="10"/>
        <color theme="1"/>
        <rFont val="Arial"/>
        <family val="2"/>
      </rPr>
      <t xml:space="preserve">Non-asset options. </t>
    </r>
    <r>
      <rPr>
        <sz val="10"/>
        <color theme="1"/>
        <rFont val="Arial"/>
        <family val="2"/>
      </rPr>
      <t xml:space="preserve">Service needs may be met without creating additional assets by reconfiguring the means of service delivery, developing initiatives to manage demand more effectively, or better utilization of existing assets.
</t>
    </r>
    <r>
      <rPr>
        <b/>
        <sz val="10"/>
        <color theme="1"/>
        <rFont val="Arial"/>
        <family val="2"/>
      </rPr>
      <t xml:space="preserve">(iii) New asset-based options. </t>
    </r>
    <r>
      <rPr>
        <sz val="10"/>
        <color theme="1"/>
        <rFont val="Arial"/>
        <family val="2"/>
      </rPr>
      <t xml:space="preserve">New investment in assets may be developed.
In practice, all options for addressing the service need are analyzed. The assessment should factor in the ability of the option to meet the service need in terms of capacity, service improvements delivered, time horizon, and lifecycle costs. Thereafter, a best fit solution is arrived at that could be a combination of the above options. 
</t>
    </r>
  </si>
  <si>
    <t xml:space="preserve">This is the project’s description, in technical terms, including a detailed description and requirements for the most important aspects of the project. 
The scope of a project needs to define the technical outputs expected from the project, the market services expected in location/ geography, the users to be serviced, and so forth. It needs to cover the life of the project, from the construction of the project to its operations and maintenance requirements, measurable and verifiable outputs at each stage of the project, and so forth. Output is defined as a measure of services of the project; it addresses the service deficiency and the desired outcome of the project. 
A well-scoped project is clearly articulated, unambiguous, and not subject to multiple interpretations of the expectations from the project.
</t>
  </si>
  <si>
    <t>Some sub-parameters are scored based on user responses to questions in the parameter sheet and the information entered in the Basic Project Data sheet.</t>
  </si>
  <si>
    <t>Some sub-parameters are scored based on user responses to questions in the parameter sheet and the information entered in the Basic Project Data Sheet.</t>
  </si>
  <si>
    <r>
      <t xml:space="preserve">This covers a preliminary assessment to gauge whether the project can be technically delivered in an efficient and effective manner to achieve the project outputs. It will include an early analysis of the project scope, technical design requirements, performance requirements, site issues, cost estimates, and related preparatory works. All available information relating to the engineering design and technical execution aspects of the project should be analyzed.
</t>
    </r>
    <r>
      <rPr>
        <b/>
        <sz val="10"/>
        <rFont val="Arial"/>
        <family val="2"/>
      </rPr>
      <t xml:space="preserve">Typically, the following aspects will be covered in a technical prefeasibility: 
</t>
    </r>
    <r>
      <rPr>
        <sz val="10"/>
        <rFont val="Arial"/>
        <family val="2"/>
      </rPr>
      <t xml:space="preserve">• Appropriateness of the technology 
• Comparison of the scope of the project with other similar projects
• Assessment of the completeness of the project cost estimates vis-à-vis the project delivery/ output specification requirements
• Analysis of lifecycle costs for major project components, whether reasonable and affordable
• Site suitability based on geo-technical requirements, project requirements, and regulatory risks 
• Site accessibility from the perspective of construction management, for example, assessing the availability of borrow earth/ aggregates , site for pre-casting structural components, site flexibility to manage construction in brownfield projects, and so forth 
• Availability of skilled workers for construction, operations, and maintenance of the project.
</t>
    </r>
    <r>
      <rPr>
        <b/>
        <sz val="10"/>
        <rFont val="Arial"/>
        <family val="2"/>
      </rPr>
      <t xml:space="preserve">Clarifications on questions raised
</t>
    </r>
    <r>
      <rPr>
        <sz val="10"/>
        <rFont val="Arial"/>
        <family val="2"/>
      </rPr>
      <t xml:space="preserve">1. Well established technology. The intent is to prefer technologies that are in wide use and have a proven track record of success in similar projects and regions/ terrains similar to the one related to this project. Untested and new technologies would potentially pose a greater risk to the project.
2. Comparability of the project's scope of work to similar projects. This relates to the tasks and outputs to be delivered under the project in terms of physical works, facilities, infrastructure, and services, and in compliance with specified/ applicable performance levels and standards. The question seeks to ascertain whether the scope of work of the proposed project is similar to those of other similar projects (preferably within the country or region).
3. Output specifications. These relate to the consistency between the project's deliverables in terms of the project's physical works, facilities, and services with the technical cost estimates for such output specifications.
4. Lifecycle costs relate to all costs that the project will incur throughout its life, from the development, construction, operations, and exit phases (as applicable to the particular PPP format). This typically includes not only capital expenditure, but also operating period expenses and termination/ exit phase costs.
5. Site suitability relates to the assessment of the site from the project's location standpoint and its suitability in terms of the project's requirements during the design, construction, operations, and maintenance phases.
6. Site accessibility during construction is critical, especially if the project is located in a remote area. There are challenges in relation to transportation/ movement of construction equipment, material, and people. Remoteness of a site can substantially increase the construction cost and might make the project financials unviable or unsustainable due to site-related challenges. 
</t>
    </r>
  </si>
  <si>
    <t xml:space="preserve">At this stage, a preliminary analysis of environmental aspects will include an understanding of the project’s impact on key environmental aspects, environmental scoping, outlining environmental management work plans for downstream activities, and other related works that would feed into a comprehensive Environmental Impact Assessment that would be undertaken at the detailed engineering and design stage. For example, in the case of World Bank safeguard policies, one or more of the following policies may be triggered in a PPP project: 
(i) Environmental assessment (OP/BP 4.01) 
(ii) Natural habitats (OP/BP 4.04) 
(iii) Pest management (OP 4.09) 
(iv) Physical cultural resources (OP 4.11) 
(v) Involuntary resettlement (OP/BP 4.12)
(vi) Indigenous peoples (OP 4.10) 
(vii) Safety of dams (OP/BP 4.37). 
In addition, national or international standards on labor and occupational health and safety may be applicable. 
These studies are an initial analysis of positive and negative impacts of the project during construction and operations, as applicable. Any potential negative impact on the environment, especially with natural resources like water bodies or protected land like forests, and impact on air and unmanageable emissions will need to be identified early on. Delays with respect to obtaining forest, environmental, and wildlife clearances and so forth from the respective departments should be factored in, as they may lead to significant delays during the implementation stage.
Environmental prefeasibility is particularly critical in the case of development of power plants based on conventional fuels, setting up ports to handle hazardous or chemical cargo, or industrial parks or waste treatment facilities.
</t>
  </si>
  <si>
    <r>
      <t>Greenhouse gas emissions.</t>
    </r>
    <r>
      <rPr>
        <sz val="10"/>
        <color theme="1"/>
        <rFont val="Arial"/>
        <family val="2"/>
      </rPr>
      <t xml:space="preserve"> Increased release of carbon dioxide and other greenhouse gases (GHGs), primarily attributable to burning fossil fuels, has led to their increased concentration. This in turn has led to the greenhouse effect, which is potentially increasing Earth's temperature at the surface and in the atmosphere, which is disrupting short-term weather patterns and causing long-term climate change. This can have several unintended consequences, such as flooding from excess rain in certain parts of the world, drought from lack of rain in others, ocean acidification, changing crops and crop production, and rising sea level. Reducing the emission of GHGs now will help mitigate the effects of climate change in the future.
</t>
    </r>
    <r>
      <rPr>
        <b/>
        <sz val="10"/>
        <color theme="1"/>
        <rFont val="Arial"/>
        <family val="2"/>
      </rPr>
      <t>Unavoidable carbon dioxide</t>
    </r>
    <r>
      <rPr>
        <sz val="10"/>
        <color theme="1"/>
        <rFont val="Arial"/>
        <family val="2"/>
      </rPr>
      <t xml:space="preserve">–equivalent emissions can be countered by carbon sequestration, in which carbon dioxide (CO2) is removed from the atmosphere and deposited in a reservoir, typically deep within the earth where it cannot reach the atmosphere. Sequestration also can come in the form of planting new forests, which absorb and use CO2 for their growth. To fulfill this credit, a streamlined lifecycle assessment needs to be conducted in accordance with the International Organization for Standardization (ISO) 14040 and ISO 14044 standards, when the project's detailed project report is being prepared prior to the construction phase.
</t>
    </r>
    <r>
      <rPr>
        <b/>
        <sz val="10"/>
        <color theme="1"/>
        <rFont val="Arial"/>
        <family val="2"/>
      </rPr>
      <t xml:space="preserve">Expected Reduction in GHG Emissions Once the Project Is Completed
Net carbon negative. </t>
    </r>
    <r>
      <rPr>
        <sz val="10"/>
        <color theme="1"/>
        <rFont val="Arial"/>
        <family val="2"/>
      </rPr>
      <t xml:space="preserve">The completed project is carbon negative (i.e., sequesters more carbon than it produces). Using a completed lifecycle carbon assessment, the project team works to design the project so that it is carbon negative through extensive use of renewable energy and carbon sinks.
</t>
    </r>
    <r>
      <rPr>
        <b/>
        <sz val="10"/>
        <color theme="1"/>
        <rFont val="Arial"/>
        <family val="2"/>
      </rPr>
      <t xml:space="preserve">Carbon neutral. </t>
    </r>
    <r>
      <rPr>
        <sz val="10"/>
        <color theme="1"/>
        <rFont val="Arial"/>
        <family val="2"/>
      </rPr>
      <t xml:space="preserve">The completed project is carbon neutral (does not produce any net carbon emissions, i.e., a 100% reduction). Using a completed lifecycle carbon assessment, the project team works to design the project so that it is carbon neutral through extensive use of renewable energy and carbon sinks. 
</t>
    </r>
    <r>
      <rPr>
        <b/>
        <sz val="10"/>
        <color theme="1"/>
        <rFont val="Arial"/>
        <family val="2"/>
      </rPr>
      <t xml:space="preserve">Potential reduction possible. </t>
    </r>
    <r>
      <rPr>
        <sz val="10"/>
        <color theme="1"/>
        <rFont val="Arial"/>
        <family val="2"/>
      </rPr>
      <t>There is potential for at least 20% GHG reduction, from the original base case scenario of the project. In this instance, it is reasonably expected that the project team will improve the project's design and thereby achieve a reduction in GHG emissions from the original base case. For example, if in the base case the project would have 100 units as GHG emissions, in the improved project design case the GHG emissions are 80. Then it can be stated that by improving the project's design, the potential GHG emissions from the project stand to be reduced by 20%.</t>
    </r>
    <r>
      <rPr>
        <b/>
        <sz val="10"/>
        <color theme="1"/>
        <rFont val="Arial"/>
        <family val="2"/>
      </rPr>
      <t xml:space="preserve">
</t>
    </r>
  </si>
  <si>
    <r>
      <rPr>
        <b/>
        <sz val="10"/>
        <color theme="1"/>
        <rFont val="Arial"/>
        <family val="2"/>
      </rPr>
      <t>Resilience and adaptability to climate change</t>
    </r>
    <r>
      <rPr>
        <sz val="10"/>
        <color theme="1"/>
        <rFont val="Arial"/>
        <family val="2"/>
      </rPr>
      <t xml:space="preserve">.Infrastructure projects that are designed for today’s conditions may not be able to function adequately under altered conditions in the future. Climate change will likely lead to changes in weather patterns and sea levels. Projects should be designed to withstand a range of conditions that may result from climate change, such as changes in temperatures, humidity, precipitation, seasonal hydrology, flooding, and increased sea levels. Changing climate conditions can have drastic impacts on the site. For example, desertification is a significant concern throughout the world, as water availability and vegetative cover decrease and overgrazing, overharvesting, and mismanagement of vegetative cover increase.
In this context, it is vital to design projects that suitably address resiliency and adaptive capacity in relation to climate change. “Resilience” refers to the ability of a system to recover quickly and cost-effectively following an extreme event. “Adaptive capacity” means the system has the ability to respond to changing conditions over time to withstand them. Flexibility is a key part of adaptive capacity. Redundancy, possibly from backup systems or decentralized distributed networks, helps systems remain functional even if one component fails.
Strategies for managing long-term changes may include the following:
(a) Structural changes—expand the range of conditions in which the system can function.
(b) Decentralized systems—these depend on many small facilities instead of a single large facility; distributed networks spread risk.
(c) Natural systems—choose environmentally friendly solutions for infrastructure provision (e.g., using wetlands to treat storm water also helps protect against flooding).
(d) Alternative supply options—identify alternative methods or locations for resources that are important for the infrastructure project (water sources, energy sources, materials, and so forth).
(e) Adaptive capabilities—include ways for the system to learn or change over time to be more prepared to deal with altered conditions.
(f) Site selection—choose sites that are less vulnerable to potential impacts of climate change (farther away from coasts to reduce the impact of increasing sea levels, at higher elevations where flooding is less likely, and so forth).
</t>
    </r>
  </si>
  <si>
    <r>
      <rPr>
        <b/>
        <sz val="10"/>
        <color theme="1"/>
        <rFont val="Arial"/>
        <family val="2"/>
      </rPr>
      <t>Short-term hazards</t>
    </r>
    <r>
      <rPr>
        <sz val="10"/>
        <color theme="1"/>
        <rFont val="Arial"/>
        <family val="2"/>
      </rPr>
      <t xml:space="preserve"> could include a variety of events that may or may not be related to climate change. These include natural hazards, such as earthquakes, tsunamis, floods, fires, wild fires, and storm surges, and human-induced hazards such as hazardous material spills, terrorist attacks, epidemics, and biohazards. 
Managing and preparing for short-term hazards helps to secure the longevity of infrastructure projects and protect investments and secure the well-being of the surrounding community. Key components for resiliency to hazards include the ability to withstand hazards (e.g., through physical fortification against flooding or hurricanes) and the ability to adapt to hazards. Adapting to a hazard can include redundancy through backup systems or decentralized distribution networks, which help systems to remain functioning even if one component fails.
Source: Adapted from the Envision Manual, https://sustainableinfrastructure.org/.
Envision is a guidance and rating system for sustainable infrastructure. It was developed by the Institute for Sustainable Infrastructure (ISI) in partnership with the Zofnass Program at the Harvard Graduate School of Design. ISI was founded by the American Council of Engineering Companies, the American Public Works Association, and the American Society of Civil Engineers. For further details, please refer to the Envision Manual.
</t>
    </r>
  </si>
  <si>
    <t>Although a comprehensive social impact assessment is advisable at the feasibility study and detailed engineering design stage, at this stage a preliminary analysis of social aspects is suggested. The preliminary social analysis could include an early identification of the project’s influence area and people affected by the project. It is suggested that the project adopt international standards on social impact assessment and management, such as those of the World Bank and International Finance Corporation. These international standards espouse a wider definition of project-affected parties and stakeholders, and measures to mitigate potential negative social impacts and encourage greater integration of communities in project design. It should be assessed whether the project will result in displacement of people, loss of livelihoods of a section of society, and an economic impact that will change people’s quality of life (this can be positive or negative). 
Social impact mitigation may include rehabilitation and resettlement for people affected by the project. Interventions to protect social impacts should 
(i) Be informed and must take into account the key relevant social issues 
(ii) Incorporate a participation strategy for involving a wide range of stakeholders. 
Such social safeguard measures could be part of the contractual obligations of the concessionaire or part of the project preparatory works for the contracting agency. 
Land acquisition resulting in loss of land, resettlement, and rehabilitation are some of the key social impacts of a project. Projects with substantial land-related social impacts could potentially be delayed if not managed well. Hence, the assessment will need to assess livelihoods impacted due the acquisition, compensation mechanisms, engagement with stakeholders on resettlement options, and provisioning of adequate funding for managing the resettlement and rehabilitation, and prepare for potential judicial scrutiny of such measures. 
The preliminary social assessment would need to assess the support of the affected communities and other key stakeholders for the project, based on consultations, political support, and/ or support for such project initiatives in the past. 
The assessment will need to conclude on a preliminary social management strategy that is sufficiently detailed, provide information on the approvals required, and comment on the timelines for obtaining such approvals.</t>
  </si>
  <si>
    <t>Economic analysis is a cost-benefit analysis of the project that seeks to quantify the net benefits for society after factoring in all the direct and indirect costs of the project. It is a key metric for the public sector to decide whether to proceed with a project or not. This is done with a long-term perspective, projecting costs and benefits through the analysis period. The period considered must be in line with the useful economic life of the infrastructure asset.
The review should conclude on the completeness of the costs and benefits from the project, the reasonableness of the assumptions for the direct and indirect costs and benefits, and whether the project is economically sound with an economic rate of return (ERR) that is greater than the threshold ERR of the government.</t>
  </si>
  <si>
    <t xml:space="preserve">A preliminary financial analysis is designed to give an early indication of a project’s potential financial viability. The analysis covers projecting income, expenses, and cash flows over the project lifecycle. The cash flow takes into consideration all capital funding, capital expenditure, income and operational expenses, and debt servicing and investor returns. 
A project is considered feasible if the benchmark metrics are considered above their thresholds on a sustained basis (such as the project’s internal rate of return and debt service coverage ratio) and in multiple scenario analysis (typically, three to five scenarios should be developed with realistic variations in key assumptions).
An important factor in the analysis is the source of project revenue, such as user charges, availability payments, or a hybrid (a combination of user charges and availability payments). 
In each of the cases, the revenue projections need to be backed by realistic assumptions, preferably based on historical data and independent studies. Care should be taken to ensure that overoptimistic growth rates are not considered while making projections over the long term. In the case of user charges, the revenue assessment will need to be backed by demand studies. The affordability of user charges could be assessed from willingness-to-pay surveys. In the case of availability payments, the assessment needs to cover the ability of the counterparty to make payments and the arrangements within the counterparty to ensure that payments can be made on a sustainable basis. 
The financing assumptions for the project will need to be realistic and supported by evidence based on the country’s experience with funding similar infrastructure projects in the past. The debt-to-equity ratio, interest rates, debt tenure assumptions, cost of equity, and so forth would need to be benchmarked to similar projects that have achieved financial closure in the recent past.  
</t>
  </si>
  <si>
    <t xml:space="preserve">At this stage, a basic level of legal analysis is recommended. The assessment will need to cover the legal feasibility of sources of revenue for the project, enforcement of lenders’ rights, foreign exchange restrictions that may affect the financing of the project, and so forth.
In the case of user charges, the prefeasibility will need to assess whether user charges can be levied by the PPP operator and assess regulatory frameworks or proposed contractual frameworks that provide a basis for tariff setting and periodic reviews. For availability payment types of projects, the prefeasibility will need to assess the modalities for assuring payments by the contracting agency through dedicating revenues to service the payment obligations.
Assess legislation/ guidelines related to enforcement of lenders’ rights of substitution, step-in rights, and other recourse to lenders to recover their outstanding loan in the event of default.
Assess if there are any restrictions to attracting foreign investment for the project in the form of debt and equity and repatriation of returns to equity investors outside the country. 
The assessment will need to conclude on the preliminary legal feasibility for the project; identify legal barriers, if any; and recommend a plan to address these barriers through appropriate executive action or legislative reforms. </t>
  </si>
  <si>
    <t>This refers to the risk that the project site will be unavailable or unable to be used within the required time or in the manner or cost anticipated, or the site will generate unanticipated liabilities due to existing encumbrances and native claims being made on it. 
The assessment will need to form an understanding on the land-related risks with respect to the quantum of land to be acquired, the legislative preparedness of the procuring agency to acquire land, budget availability to pay for the acquisition, and so forth. The assessment will also cover risks related to the nature of land being acquired with respect to resettlement of existing landowners, protected or notified lands, forest or eco-sensitive lands, and so forth.
The assessment will need to assess the preparedness of the contracting authority to provide 100% unencumbered land for the project in a timely manner.</t>
  </si>
  <si>
    <t xml:space="preserve">This refers to the risk that sufficient finance will not be available for the project at reasonable cost (for example, due to changes in market conditions or credit availability), resulting in delays in a project’s financial closure. 
This will cover an assessment of financial closure of similar projects in the country or region, financiers who may be interested in PPPs, and appraisal of other potential factors that may delay or impact raising finances for the project in a timely manner.  </t>
  </si>
  <si>
    <r>
      <t xml:space="preserve">Design risk. </t>
    </r>
    <r>
      <rPr>
        <sz val="10"/>
        <color theme="1"/>
        <rFont val="Calibri"/>
        <family val="2"/>
        <scheme val="minor"/>
      </rPr>
      <t xml:space="preserve">This refers to the risk that the proposed design will be unable to meet the performance and service requirements mentioned in the output specification. It can result in additional costs for modification and redesign. 
</t>
    </r>
    <r>
      <rPr>
        <b/>
        <sz val="10"/>
        <color theme="1"/>
        <rFont val="Calibri"/>
        <family val="2"/>
        <scheme val="minor"/>
      </rPr>
      <t xml:space="preserve">Construction risk. </t>
    </r>
    <r>
      <rPr>
        <sz val="10"/>
        <color theme="1"/>
        <rFont val="Calibri"/>
        <family val="2"/>
        <scheme val="minor"/>
      </rPr>
      <t xml:space="preserve">This refers to the risk that the construction of assets required for the project will not be completed on time, budget, or to specification. It may lead to additional raw material and labor costs, as well as increase in the cost of maintaining existing infrastructure or providing a temporary alternative solution in case of delay in provision of the service.
This will cover an assessment of technology risks, site-specific risks and construction challenges thereof, and sourcing of skills for constructing and operating the project. It includes the ability of the private sector partner to manage efficiently the design, construction, and commissioning risks by allowing engineering procurement and construction (EPC), equipment suppliers, or equivalent arrangements wherein EPC (or similar contractors) will take on cost, schedule, and performance risk through a “date-certain,” fixed price lump-sum, turnkey contract. It also includes the ability of the private sector to include a strong system of safeguards, incentives, and liabilities to manage contractor/ sub-contractor performance, as well as an adequate warranty and defects liability period to manage any construction-related challenges. 
</t>
    </r>
  </si>
  <si>
    <t xml:space="preserve">This refers to risks associated with the need for increased operations and maintenance (O&amp;M) costs over the term of the project to meet performance requirements. 
This will cover an assessment of the O&amp;M scope of the PPP, that is, whether it is clearly defined, with output standards that are clearly measurable and verifiable; sourcing of skills for managing O&amp;M; and the ability of the PPP to manage this risk through back-to-back arrangements in O&amp;M contracts and warranties on the performance of subcontractors. 
</t>
  </si>
  <si>
    <t xml:space="preserve">This refers to the risk that demand for a service will vary from that initially projected, such that the total revenue derived from the project over the project term will vary from initial expectations. Demand or usage risk emanates from optimism bias in traffic/ income projections and two possible situations: (a) delay in ramp-up of usage or demand, or (b) usage or demand levels remaining well below project estimates over a long period of time. There could be several underlying reasons for these situations to come up, such as a general economic downturn, competition within the sector and beyond, changes in target market composition or demographics, technical obsolescence or innovation, and shifts in industry activity/focus. These should be critically examined while projecting usage volumes and revenues. 
This risk is at the heart of user-pay structures and should generally be borne by the private party, with adequate government support measures to address extreme situations.  
</t>
  </si>
  <si>
    <t xml:space="preserve">This refers to the risk where payments are to be received from government counterparties, such as in availability payment or output-linked payments. The risk of timely and adequate payments is driven by the credit worthiness and financial position of the government counterparty. The credibility of the government agency to make payments as per the contract and on time is assessed here. Any payment mechanism by the government should be supported by identified income sources or budget line provisions; the private sector partner needs to be assured of availability of funds with the government counterparty to make payments.
This will also cover assessment of creditworthiness of the government counterparty reflected through sovereign credit ratings, debt-to-GDP ratios, debt service to revenue income, and so forth. 
Often lenders require putting in place an adequate liquidity and payment security mechanism, such as provisions to create a debt service reserve account, escrow arrangements, payment guarantees or sovereign guarantees, letters of credit, and similar credit enhancement arrangements.
</t>
  </si>
  <si>
    <t xml:space="preserve">This refers to the risk that could arise from increased payment obligations for the PPP due to depreciation of the local currency vis-à-vis the foreign currency deployed to fund the capital and revenue expenditures for the project. The assessment will cover foreign currency payment obligations of the project toward interest payments and repayment of foreign debt, and imports of raw materials for the project from international markets, such as imports of coal/ gas/ fuel for power projects, and so forth. 
The mitigation measures to manage the risk could include hedging the risks through forward contracts or options on payment obligations, assessment of the mix of foreign exchange and local currency earnings from the project, and availability of foreign exchange guarantees from the contracting authorities to mitigate this risk.  </t>
  </si>
  <si>
    <t xml:space="preserve">Environmental and social risk refers to the risks being borne by the project on account of environmental and social impact management. The risk could result in negative outcomes for the environment/ society, and increase in unanticipated costs for the project company. Primarily, this risk is a design and construction phase risk and should generally be borne by the private partner. A notable exception is preexisting contamination. When there has been an existing operation, the government usually accepts responsibility for preexisting environmental problems (for example, site contamination for a power plant or waste dump).
Environmental risks may also affect the O&amp;M phase with increased management costs (for example, noncompliance with environmental legislation that is detected during operations or changes in environmental law). Social risks are related to issues of project-affected people.
While a detailed environmental and social impact assessment will be expected at the detailed design and engineering stage, it is recommended that an early-stage analysis of potential environmental and social impact issues should be undertaken during the preliminary analysis stage, preferably as per international performance standards (please refer to preliminary feasibility section).
In addition, there should be suitable contractual provisions to manage preexisting environmental and social risks, and any unexpected factors.
</t>
  </si>
  <si>
    <t xml:space="preserve">To change the scoring weight of the questions, please click on the Admin sheet. </t>
  </si>
  <si>
    <t xml:space="preserve">A PPP represents value for money (VFM), implying cost savings enjoyed by the public sector on a whole-of-life-cycle basis. VFM would include qualitative and quantitative approaches to assess a range of project outcomes not only in terms of price, but also increased benefits to the end-users, greater certainty of the financial outcome, assets and services delivered at a specified level, and consideration of long-term service needs.
Drivers of VFM. Several qualitative factors contribute to VFM, including the following: 
• Project scale: a large project can potentially lead to economies of scale.
• Longer project duration: provides an opportunity for the private sector to manage costs optimally and recoup its investments. 
• Adequate integration of services: provides greater incentive for the private sector to have a longer-term view on service delivery, optimize costs, and benefit from efficiency gains. The idea is not to encourage full integration, but rather an adequate level of integration that optimizes the whole-of-life-cycle costs. For example, under the United Kingdom’s Private Finance 2 (PF2), certain auxiliary services (soft services: cleaning, catering, pest control, laundry, and mail; other common services: information and communications services, telephony, receptionist, health, and safety) have now been excluded from PFI contracts on the grounds that they were being costed at rates much higher than what the public sector was procuring under traditional public procurement. Hence, the notion of an “adequate” level of integration as against full integration is understood to be more beneficial. More information on the United Kingdom’s PF2 can be accessed at https://www.gov.uk/government/publications/private-finance-2-pf2.
• Opportunities for cost reduction: it is expected that the private sector has better asset management skills than the public sector and is well-incentivized to realize efficiency gains from operating assets.
• Opportunities for increasing revenue generation: it is expected that the private sector will have better marketing skills for efficiently increasing asset utilization/ asset realization by increasing the usage of the facility and also exploring alternative revenue sources. 
Linking remuneration to the private sector to performance on measurable and verifiable outputs. Quantitative VFM analysis should seek to quantify the incremental net benefit over costs vis-à-vis private sector delivery and risk-adjusted public sector delivery. VFM compares the proportion of cost savings between a project that is delivered by the public sector, that is, a risk-adjusted public sector benchmark (PSB), with project delivery via a PPP. VFM % = (cost of risk-adjusted PSB – cost of PPP)/ cost of risk-adjusted PSB. The quantitative VFM assessment will need to be supported by assumptions that are realistic and reasonable. It is a good practice to benchmark assumptions and data for VFM analysis with outcomes on similar projects implemented in the past. 
Scenario analysis for VFM. Given that there is high uncertainty in relation to basic assumptions, often practitioners conduct simulations and scenario analysis to generate different ranges of outcomes based on changes in assumptions, to examine whether there is VFM above the threshold VFM percentage in the stress case scenarios.
The threshold VFM percentage is the minimum expectation of the government below which the government would be neutral if the project was taken up for delivery by the public sector or the private partner. Usually, this reference VFM is taken as 10%.
The approach to structuring a project should be to look at an optimal VFM that the private sector can provide. These VFM solutions could emerge through permutations and combinations of project scope, the qualitative factors mentioned above, and quantitative VFM analysis, without a bias toward a particular form of delivery. 
</t>
  </si>
  <si>
    <t xml:space="preserve">An effective market sounding exercise provides an opportunity for a structured dialogue between the private and public sectors in the early stages of the PPP process. This not only tests the viability of the project's details, but also elicits feedback on how aspects of the project should be defined to ensure private sector participation and foster competition.
The prefeasibility exercise should capture the potential investor’s perspective of the project, the private sector’s value drivers, and the main financial and operational constraints companies might face during the provision of the infrastructure and services.
It can be assessed if the project is eligible for obtaining funding from multilaterals or an identified line of credit. Learning from similar projects executed in the past in the country can be used as guidance. In this process, valuable feedback can be obtained that may have important effects on the financial model, technical requirements, and preliminary contract structure. 
</t>
  </si>
  <si>
    <t>With respect to direct commitments, the typical metrics include projections of multi-year payments and aggregations in terms of nominal and present value, computed at an appropriate discount rate (typically, the government’s cost of funds).
Budgetary ceilings are limits on exposure to direct and indirect fiscal commitments to PPPs that governments impose to restrict their fiscal exposure to PPPs. Depending on the nature of the fiscal commitments that the government seeks to provide, different ceilings could be established. For example, if payments are in the form of cash subventions during the construction period or for a prespecified number of early years, the government could consider an absolute ceiling amount, specified in applicable currency over aggregate payments to be made for respective planning periods (this could be consistent with, say, a Medium-Term Expenditure Framework (MTEF) period of 3–5 years or a public investment planning period, which is usually 5–7 years) and subsequent periods, as applicable to the overall duration of the fiscal commitments tenure. Some governments prefer to limit annual payments to a percentage of government expenditure or an MTEF planning period (i.e., sum of annual payments ≤ _% of government expenditure over the same period). 
In the case of guarantees or contingent liabilities (arising from nontermination events), some governments prefer placing a ceiling on maximum annual payments or maximum estimated annual payments linked as a percentage of GDP (i.e., maximum estimated or absolute annual payment less than or equal to a percentage of GDP or as a percentage of government expenditure or public debt).
The fiscal significance has been defined as 0.25% of the nominal GDP. This input assumption can be changed based on the government's acceptance of risk exposure. Usually, any event that has a potential impact is considered as 0.5%; those exceeding 1% would be considered as high.</t>
  </si>
  <si>
    <t>Fiscal commitments for PPP projects are the government’s obligations to make payments to the private sector, constituting the whole or part of the remuneration of the private party, a means to share risk, or a combination of the two. Typically, fiscal commitments may be required to: (1) make PPP projects viable, when economically viable projects are not financially viable at an affordable level of user charges alone, or where user charging may not be desirable or practical; and (2) achieve an appropriate risk allocation, by ensuring that each party bears the project risks they are best able to manage efficiently. Allocating too much risk to the private party may make it expensive or impossible to raise finance.
Unless these commitments are managed well, the potential advantages of a PPP can be eroded, and the government can risk building up significant fiscal exposure. On the one hand, uncertain payment obligations expose the government to fiscal risk that can create budgetary uncertainty and may put public debt on an unsustainable path. On the other hand, uncertainty among private partners as to whether the government will be able to honor its commitments promptly can undermine the VFM created by allocating risks well. 
Fiscal commitments can take the form of direct or contingent liabilities. Direct liabilities or direct commitments are those where the need for payment is known. These could include an upfront capital payment or regular payments (such as availability payments or operational subsidies) over a specified period of the contract. Contingent liabilities or guarantees are those for which payment is needed only if some uncertain future event or circumstance occurs, so the occurrence, value, and timing of a payment may all be unknown when the government takes on the obligation. Collectively, they are termed as fiscal commitments and constitute a form of government support measures.
The process of analysis to assess the extent of fiscal support from the government would include the following: 
• A preliminary feasibility study (PFS) would recommend that the project requires specified fiscal commitments to make it financially viable and potentially bankable.
• The PFS considers all options to increase efficiency in project scoping and that there is no further reduction possible, that is, to ascertain that the same level of service delivery needs cannot be met with a reduced scope and scale of the project.
• The PFS adequately examines all options to increase project revenues through user charges and/or third-party revenue sources that would be socially and economically acceptable to the users and the government. 
• The PFS includes an independent assessment of market demand, including comprehensive justification of major assumptions and key findings, and the project revenues are considered realistic. 
• The PFS considers all areas to optimize capital and operating costs, and establishes a strong case for their reasonableness.
• The PFS recommends optimal risk-sharing between the government, implementing agency and investor(s).
• The PFS concludes that the project is likely to be technically, legally, financially, environmentally, and socially feasible and bankable, with the desired level of fiscal commitments.
When a project goes into tender, the direct fiscal support required from the government is made the bid variable for the project, while keeping all the other project parameters fixed. This ensures that there is competitive pressure in market determination of government support in the project. For example, India’s Viability Gap Financing (VGF) policy requires that the VGF support required for the project is the bid variable, and the bidder quoting the lowest VGF support is selected as the preferred bidder.</t>
  </si>
  <si>
    <t xml:space="preserve">The institutional capacity of the government refers to the capacity of the contracting agency to develop and manage the project PPP. To develop a PPP successfully, the contracting agency needs to have personnel in its departments with the capability to manage a PPP, and available for deployment on the project on a dedicated basis. Departments with experience in executing PPPs would be at an obvious advantage, provided learnings from past PPPs have been incorporated in the current project and the right personnel have been chosen for the project. 
The focal person for PPP refers to an officer from the department or an advisor appointed by the contracting authority to support them on the project PPP. It is expected that this person has capabilities in the area of PPPs and has executed similar projects in the past. This person may have an advisory role in the project or may be a senior officer with substantial decision-making powers to guide the process.
Appointing transaction advisors to manage the PPP process is a good practice. Transaction advisors conduct prefeasibility and feasibility studies, structure a project PPP, and support the contracting agency in the procurement process and thereafter in contract negotiations.
</t>
  </si>
  <si>
    <t xml:space="preserve">Project preparedness is the amount of rigor put in by the contracting agency to think through the entire project development phase, leading to procurement of the private sector partner and signing of the contract.
At a high level, it could include a road map with timelines and identified responsibilities to manage the process. The plan should preferably include subplans for major project items like environment approvals, communication strategies and plans, social impact mitigation measures, and land acquisition. Adequate funding allocated to these activities also indicates a high level of preparedness and intent of the contracting agency to go ahead with the PPP procurement. The contracting agency should be aware of the licenses, permits, approvals, and so forth that are required for undertaking the project, and should identify the concerned departments/ agencies responsible for providing these permissions and approvals.
</t>
  </si>
  <si>
    <t>Project execution capabilities refer to the capability of the contracting agency to develop, operate, and maintain the project on its own through the normal procurement route. This indicates whether the agency has the full range of skills with the department to execute such projects. This is especially important in the context of social sector projects like hospitals, sports, and education facilities; contracting agency officers are mostly adept in operating these facilities, but lack skills in constructing them. Understanding the skill gaps, supplementing them through secondment from other departments, and appointing advisors would help in effective project execution.</t>
  </si>
  <si>
    <t>Institutional capacity</t>
  </si>
  <si>
    <t>Preparedness of the contracting agency</t>
  </si>
  <si>
    <t>Project execution capability of the contracting agency</t>
  </si>
  <si>
    <t>Quantification of fiscal support</t>
  </si>
  <si>
    <t>Extent and Nature of Government's Fiscal Support</t>
  </si>
  <si>
    <t>Highlights potential deal breakers that may not have been complied with.</t>
  </si>
  <si>
    <t>Highlights areas to strengthen and improve.</t>
  </si>
  <si>
    <t>Provides details of all user inputs across various functional and thematic areas.</t>
  </si>
  <si>
    <t>Provides a snapshot of all relevant numbers and qualifications related to the project.</t>
  </si>
  <si>
    <t>Provides details on where the scores are lacking and will require strengthening.</t>
  </si>
  <si>
    <t>Print-friendly for documentation purposes.</t>
  </si>
  <si>
    <t>Is the project derived from a national plan or other medium-to long-term strategic document that establishes economy-wide development priorities at the highest levels of the government?</t>
  </si>
  <si>
    <t>Does the project have high strategic importance for the region and could it enable significant private sector investments in the economic development of the region?</t>
  </si>
  <si>
    <t>Will the project lead to an improvement in the quality of life of the citizens? For example, by way of reduced cost of living or improved liveability for the citizens.</t>
  </si>
  <si>
    <t>Is there clear articulation and substantiation of the service deficiency?</t>
  </si>
  <si>
    <t>Is the desired service outcome well defined and can it be used to scope out the project?</t>
  </si>
  <si>
    <t>Is the user base identified for the project in terms of users, geography, growth trends, etc.?</t>
  </si>
  <si>
    <t>Are the life cycle costs for major components of the project reasonable and affordable?</t>
  </si>
  <si>
    <t>Has a site suitability assessment been completed for the proposed project site?</t>
  </si>
  <si>
    <t xml:space="preserve">Will the project have a significant adverse impact on the health or quality of life of users, workers, or the local population? </t>
  </si>
  <si>
    <t>If yes to previous, is there a plan and adequate funds available for land acquisition and resettlement?</t>
  </si>
  <si>
    <t>Will the identified social management strategy, or its related approvals, result in uncertainties or delays that could impede project implementation?</t>
  </si>
  <si>
    <t>Is the economic rate of return (ERR) likely to be higher than the threshold ERR requirements of the government?</t>
  </si>
  <si>
    <t>Is there a preliminary financial analysis based on assessment of the net present value (NPV) or internal rate of return (IRR) of the project's cash flows?</t>
  </si>
  <si>
    <t>What are the main source(s) of the project's revenues?</t>
  </si>
  <si>
    <t>Threshold min DSCR = Y.YY</t>
  </si>
  <si>
    <t>Are the project's off-take or availability arrangements and revenue projections realistic? For example, backed by clear understanding from the government counterparty agency or availability and capacity utilisation factors based on realistic historical data and forecasting assumptions.</t>
  </si>
  <si>
    <t>Are the revenue projections realistic? For example, revenues from user charges are based on user surveys or demand models with realistic assumptions and historical data; AND revenues from availability payments are backed by clear understanding from the counterparty agency or availability/capacity utilization factors based on realistic assumptions and historical data.</t>
  </si>
  <si>
    <t>Are the financing assumptions comparable to similar projects? Such as the debt-to-equity ratio, interest rate and tenure of debt, and cost of equity.</t>
  </si>
  <si>
    <t xml:space="preserve">If yes to (x), is the project's minimum DSCR greater than the threshold ratio for the duration of the loan? </t>
  </si>
  <si>
    <t>Is there a framework that provides a basis for charging tariffs and are there clear methodologies for tariff setting and periodic reviews?</t>
  </si>
  <si>
    <t>Is there a framework that provides a basis for establishing the payment mechanism for the contracting agency to make availability-based payments to the PPP project?</t>
  </si>
  <si>
    <t>Is there a framework that provides adequate basis for establishing the hybrid revenue mechanism for the PPP project? This could include, a tariff-setting methodology and periodic review mechanism.</t>
  </si>
  <si>
    <t>If applicable, Is there a plan to address legal barriers through appropriate executive action or legislative reforms?</t>
  </si>
  <si>
    <t xml:space="preserve">Will the PPP arrangement follow the principles set out in successful PPP projects in the past and/or follow international good practices for dispute resolution, changes in law, force majeure and termination events related to the project? </t>
  </si>
  <si>
    <t>Are there any other issues that could delay land acquisition?</t>
  </si>
  <si>
    <t>Will the completed project likely be carbon neutral or net carbon negative, in terms of greenhouse gas emissions?</t>
  </si>
  <si>
    <t>Are there financiers who will express or have expressed interest in the PPP?</t>
  </si>
  <si>
    <t xml:space="preserve"> Can it be reasonably expected that financial close will not be delayed to affect materially the conditions of effectiveness of the PPP agreement?</t>
  </si>
  <si>
    <t>Will the project be able to source the required skills in relation to the project's construction and  operations and maintenance (O&amp;M) (as applicable)?</t>
  </si>
  <si>
    <t>Does the project scope allow the private sector to manage efficiently the design, construction, and commissioning risks?</t>
  </si>
  <si>
    <t>Will there be a strong system to manage contractor/subcontractor performance and construction-related challenges?</t>
  </si>
  <si>
    <t xml:space="preserve">Does the project scope clearly include a well-defined, measurable, and verifiable O&amp;M component? </t>
  </si>
  <si>
    <t>Will the project be able to source the required skills locally or from overseas, in relation to the project's construction and O&amp;M (as applicable)?</t>
  </si>
  <si>
    <t xml:space="preserve">Will the PPP have a ready baseline of demand or offtake that has been well established through historical data, firm off-take commitments, or exclusivity of service area? </t>
  </si>
  <si>
    <t>Are there precedents of similar projects in the country or region, where the actual usage or offtake from the project facility in the initial years has been atleast 85% of the originally projected usage or off-take?</t>
  </si>
  <si>
    <t>Is there an indication that user charges will be affordable to users? Such as through an assessment of the ability and willingness to pay of the users or benchmarking with similar projects.</t>
  </si>
  <si>
    <t>In case of delays in ramping up of demand, will the private sector have some flexibility in repricing tariffs to manage and off-set demand shortfalls in any given year, or would the government provide some level of cash deficiency support or assurances?</t>
  </si>
  <si>
    <t>Does the government counter party have high credit worthiness? Such as may be reflected through its financial position or outstanding credit ratings issued by independent credit rating agencies.</t>
  </si>
  <si>
    <t>Are the payments secured through budgetary arrangements and/or backed by dedicated funds?</t>
  </si>
  <si>
    <t>In the event of disputes on payments linked to performance measurements, are there arrangements envisaged to release the undisputed amount or is there a cap on the maximum amount that can be retained by the offtaker pending the dispute?</t>
  </si>
  <si>
    <t>What is the average ratio of annual availability payments/ annual total payments for the PPP project?</t>
  </si>
  <si>
    <t>Are payments secured through budgetary arrangements and/or backed by dedicated funds or funding sources?</t>
  </si>
  <si>
    <t>Are guarantees, payment security measures or other cash contingency measures envisaged to support the PPP project in obtaining timely payments in relation to the payment obligations of the contracting authority?</t>
  </si>
  <si>
    <t xml:space="preserve">Will the PPP have a ready baseline of demand or offtake that has been well established through historical data, firm off-take commitments or exclusivity of service area? </t>
  </si>
  <si>
    <t>Are there any precedents of similar projects in the country or region where the variance between actual and projected traffic in the initial years has been below 15%?</t>
  </si>
  <si>
    <t>In case of delays in ramping up of demand, will the private sector have some flexibility in repricing tariffs to manage and offset demand shortfalls in any given year, or would the government provide some level of cash deficiency support or assurances?</t>
  </si>
  <si>
    <t>Will the project be able to manage the foreign exchange risk by obtaining an adequate hedging cover? For example, through forward exchange contracts, options, or similar arrangements.</t>
  </si>
  <si>
    <t>Are there any other factors or concerns related to foreign exchange risk that could severly impact the project's financial viability or ability to raise financing?</t>
  </si>
  <si>
    <t>Can the private sector manage the environmental and social impact mitigation measures envisaged in its scope?</t>
  </si>
  <si>
    <t>Do the project size and contract duration have the potential to maximize private sector efficiency?</t>
  </si>
  <si>
    <t>Does the PPP adequately integrate responsibility for design, build and finance with O&amp;M risks under one party that enables the private sector to derive efficiency gains from better management (than what the public sector could have achieved) of the whole-of-life-cycle costs of the project?</t>
  </si>
  <si>
    <t xml:space="preserve">Is there potential for the private sector to operate and manage the project more efficiently than the public sector to decrease the project’s whole-of-life-costs? </t>
  </si>
  <si>
    <t>Is there potential for a private operator to generate higher revenues than the public sector would have through better utilization of the project assets?</t>
  </si>
  <si>
    <t>Is the value for money (VFM) for the project greater than the threshold VFM requirement?</t>
  </si>
  <si>
    <t>Will the VFM for the project remain greater than the threshold rate in the stress (or low) case scenario?</t>
  </si>
  <si>
    <t>Is there a favorable response expected from the private sector towards the project? For example, as gauged by the contracting agency through preliminary market consultations or similar investor interactions.</t>
  </si>
  <si>
    <t>Have similar PPP projects been successfully implemented in the past in the country or region?</t>
  </si>
  <si>
    <t>Will debt financing be available for the project with a relatively long tenure (more than 7 years) and at a reasonable cost?</t>
  </si>
  <si>
    <t>Is the project eligible for funding/ guarantees from  multilateral/donor agencies?</t>
  </si>
  <si>
    <t>Is there an assessment of various options to minimize the requirement of government support? Such as options for additional sources of revenue, tariff adjustments, optimizing project scope, and/or adjusting the contract period?</t>
  </si>
  <si>
    <t xml:space="preserve">Has the level of government support been benchmarked to comparable projects, at the national level or regional level? </t>
  </si>
  <si>
    <t>Will there be competitive pressure in market determination of government support?</t>
  </si>
  <si>
    <t>If a non-termination event defined by the PPP contract (or a guarantee arrangement) occurs, are the maximum expected annual payouts triggered by this event within acceptable budgetary limits for the government?</t>
  </si>
  <si>
    <t>Will the impacts of direct and contingent liabilities of the project be within an acceptable level for the government?</t>
  </si>
  <si>
    <t>Does the proposal have a project plan  for the next stages of the project with identified deadlines and responsibilities allocated?</t>
  </si>
  <si>
    <t>Does the contracting agency have adequate project management capability as evidenced from successful experience of implementing publicly funded projects in the sector?</t>
  </si>
  <si>
    <t>Has the contracting agency been effective in managing key contractual risks and monitoring the performance of PPP projects during their operations phase?</t>
  </si>
  <si>
    <t>Will the contracting agency insist on project-level disclosure to the public from time to time on the project's performance and meeting contractual obligations?</t>
  </si>
  <si>
    <t>Will the project IRR (post-tax) remain greater than the threshold rate in the stress (or low) case scenario?</t>
  </si>
  <si>
    <t>Is the project's minimum DSCR greater than the threshold ratio for the duration of loan?</t>
  </si>
  <si>
    <t>Will the project's minimum DSCR remain greater than the threshold ratio for the duration of the loan, in the stress (or low) case scenario?</t>
  </si>
  <si>
    <t>Is the economic IRR greater than the threshold ERR for the project?</t>
  </si>
  <si>
    <t>The project is a strong fit with strategic suitability. There is high alignment with government priorities and the project is based on a clear definition of service needs.</t>
  </si>
  <si>
    <t>The project's financial viability is critically dependent on the availability of required government support measures.</t>
  </si>
  <si>
    <t>The project has a strong risk profile in terms of overall risk allocation and mitigation.Overall the project has an equitable risk-sharing structure, which is likely to attract private sector investors.</t>
  </si>
  <si>
    <t>On an overall basis, the project has an equitable risk-sharing arrangement. However, certain areas would require strengthening during the feasibility stage.</t>
  </si>
  <si>
    <t>The project is extremely amenable as a PPP. There is a strong indication of value for money and potentially favorable market  interest.</t>
  </si>
  <si>
    <t>The project is highly amenable as a PPP. There is a strong indication of value for money and potentially favorable market  interest.</t>
  </si>
  <si>
    <t>The project's bankability is dependent on the availability and adequacy of the required government support measures.</t>
  </si>
  <si>
    <t>The fiscal commitments are within acceptable budget ceilings and their collective impact is fiscally manageable by the government.</t>
  </si>
  <si>
    <t>The fiscal commitments are within acceptable budget ceilings and their collective impact is fiscally manageable by the government. However, the identified areas would need further examination and strengthening during the feasibility study stage.</t>
  </si>
  <si>
    <t xml:space="preserve">The contracting agency has an implementable plan for developing the project . It also has very strong capability and dedicated, experienced personnel to manage the PPP. </t>
  </si>
  <si>
    <t xml:space="preserve">The contracting agency has an implementable plan for developing the project. It also has strong capability and dedicated, experienced personnel to manage the PPP. </t>
  </si>
  <si>
    <t xml:space="preserve">The contracting agency planned the next stages of the project well. And it has capability and dedicated, experienced personnel to manage the PPP. </t>
  </si>
  <si>
    <t>The project's strategic suitability as a PPP is not well established. The information gaps must be addressed to restructure and reassess the project. It should proceed only if the gaps can be addressed during the feasibility study stage.</t>
  </si>
  <si>
    <t>The project is marginally aligned with strategic suitability. It should proceed only if the gaps can be addressed during the feasibility study stage.</t>
  </si>
  <si>
    <t xml:space="preserve">The preliminary feasibility analysis indicates that the project is likely to be feasible on an overall basis but the identified areas need to be strengthened. </t>
  </si>
  <si>
    <t>The preliminary feasibility analysis indicates that the project is likely to be marginally feasible on an overall basis. Proceed only if the gaps are considered addressable in the feasibility study stage.</t>
  </si>
  <si>
    <t>On an overall basis, the project has an adequate risk-sharing arrangement. However, certain areas would require strengthening during the feasibility study stage.</t>
  </si>
  <si>
    <t xml:space="preserve">On an overall basis, the project has marginally adequate risk-sharing arrangement. There is significant scope for improvement, without which the project may not succeed. It should proceed only if the gaps are considered addressable in project preparation. Practitioners should exercise caution going forward. </t>
  </si>
  <si>
    <t xml:space="preserve">On an overall basis, the project is marginally amenable as a PPP.  Practitioners should excercise caution going forward. 
</t>
  </si>
  <si>
    <t xml:space="preserve">The project's potential to be developed as a PPP is not well substantiated. There is a high level of uncertainty associated with the project's PPP ability and will require restructuring and reassessment before it can be taken forward. Practitioners should excercise caution going forward. </t>
  </si>
  <si>
    <t>The fiscal commitments are substantial and the project exposes the government to a high level of fiscal risk. Specifically, the identified areas would need further examination and strengthening during the feasibility study stage.</t>
  </si>
  <si>
    <t xml:space="preserve">The contracting agency has a basic road map for the next stages of the project. It also has limited capability to manage the PPP. However, the identified areas would need further examination and strengthening during the feasibility study stage. </t>
  </si>
  <si>
    <t xml:space="preserve">The contracting agency has limited capability to manage the PPP. Specifically, the identified areas would need further examination and strengthening during the feasibility study stage. </t>
  </si>
  <si>
    <t xml:space="preserve">The project's strategic suitability as a PPP is not established. It requires modifying the project characteristics, addressing information gaps and reassessing the project. </t>
  </si>
  <si>
    <t>The project does not  appear strategically suitable as a PPP. It requires revisiting the project concept, filling up data gaps, restructuring and reassessing. It should not proceed to the feasibility study stage in the present state of the project.</t>
  </si>
  <si>
    <t>The project is not strategically suitable as a PPP. It is deficient in several areas. It requires revisiting the project concept, filling up data gaps, restructuring and reassessing. It should not proceed to feasibility study stage in the present state of the project.</t>
  </si>
  <si>
    <t>The project is materially deficient to be considered further in its present form. It should not proceed to the feasibility study stage.</t>
  </si>
  <si>
    <t>The project appears infeasible and would require restructuring and reassessment before it can be taken forward.</t>
  </si>
  <si>
    <t>The project appears infeasible and would require being substantially reconfigured and reassessed before it can be considered further.</t>
  </si>
  <si>
    <t>The project appears infeasible. It appears deficient in several areas and would require being substantially reconfigured and assessed afresh.</t>
  </si>
  <si>
    <t>The project is materially deficient to be considered further in its present form. It requires reconfiguring the project characteristics and structure before assessing afresh.</t>
  </si>
  <si>
    <t xml:space="preserve">It is unlikely that the project can be developed as a PPP. The risk-sharing arrangement will require substantial reconfiguration before it can be considered further. Practitioners should exercise caution going forward. </t>
  </si>
  <si>
    <t xml:space="preserve">The project's potential to be developed as a PPP is questionable. There is an imbalance or high level of uncertainty associated with the risk-sharing arrangement. The risk sharing arrangement will require subsantial improvements for the project to succeed as a PPP. The project will require restructuring and reassessment  before it can be taken forward. Practitioners should exercise caution going forward. </t>
  </si>
  <si>
    <t>There is an imbalance or  high level of uncertainty associated with the risk-sharing arrangement. It will will require improvements for the project to succeed as a PPP. The project will require restructuring and reassessment  before it can be taken forward. Practitioners should exercise caution going forward.</t>
  </si>
  <si>
    <t>The project cannot be developed as a PPP. The risk-sharing arrangement appears deficient in several areas and would require being substantially reconfigured and assessed afresh.</t>
  </si>
  <si>
    <t xml:space="preserve">Its unlikely that the project can be developed as a PPP. It will require substantial reconfiguration before it can be considered further. Practitioners should exercise caution while proceeding forward. </t>
  </si>
  <si>
    <t xml:space="preserve">The project's potential to be developed as a PPP is questionable. There is a  high level of uncertainty associated with the project's PPP ability and it will likely require restructuring and reassessment before it can be taken forward. Practitioners should exercise caution going forward. </t>
  </si>
  <si>
    <t>The project cannot be developed as a PPP. It appears deficient in several areas and would require being substantially reconfigured and assessed afresh.</t>
  </si>
  <si>
    <t>The proposed government fiscal commitments are not consistent with the government's policy.</t>
  </si>
  <si>
    <t xml:space="preserve">The contracting agency does not have the capability to manage the PPP. The identified areas would need strengthening. </t>
  </si>
  <si>
    <t>The project is strongly suited to be developed as a PPP. Proceed with project preparation.</t>
  </si>
  <si>
    <t>The project is well suited to be developed as a PPP. Proceed with project preparation but prepare a clear strategy to address the identified issues .</t>
  </si>
  <si>
    <t>The project is potentially suited to be developed as a PPP. Proceed with project preparation but prepare a clear strategy to address the identified issues.</t>
  </si>
  <si>
    <t>The project is marginally suited as a PPP. Proceed only if the gaps are considered addressable in the feasibility study stage.</t>
  </si>
  <si>
    <t>The project's suitability as a PPP is not well established. Please address the information gaps to restructure and reassess the project. Do not proceed to the feasibility study stage in the present state of the project.</t>
  </si>
  <si>
    <t>The project's suitability as a PPP is not established. Please modify the project characteristics, address information gaps and reassess the project. Do not proceed to the feasibility study stage in the present state of the project.</t>
  </si>
  <si>
    <t>The project does not  appear suitable as a PPP. Revisit the project concept, fill data gaps, restructure and reassess. Do not proceed to the feasibility study stage in the present state of the project.</t>
  </si>
  <si>
    <t>The project is not suitable as a PPP. It is deficient in several areas. Revisit the project concept, fill data gaps, restructure and reassess. Do not proceed to the feasibility study stage in the present state of the project.</t>
  </si>
  <si>
    <t>The project is materially deficient to be considered further in its present form. Do not proceed to the feasibility study stage.</t>
  </si>
  <si>
    <t>Is the project's minimum DSCR greater than the threshold ratio for the duration of the loan?</t>
  </si>
  <si>
    <t>Will the project IRR (post-tax) remain greater than the threshold rate the stress (or low) case scenario?</t>
  </si>
  <si>
    <t>Is the project derived from a national plan or other medium- to long-term strategic document that establishes the development priorities at the highest levels of the government?</t>
  </si>
  <si>
    <t>• The questions in the parameter sheets will be adapted to the project based on the inputs provided by the user in this sheet.
• The user shall input information in the blue shaded cells only.
• The functionality of the tool will be reduced if inputs are not provided in any of the user input cells.
• The tool will not compute qualitative cum quantitative scores if numerical information is not provided in this sheet.
• The user can access the explanatory notes by clicking the thematic questions.
• Before proceeding enable iterative calculations function in excel. To enable follow the path - File &gt; Options &gt; Formulas &gt; Calculation options &gt; Check box 'Enable iterative calculations'</t>
  </si>
  <si>
    <r>
      <rPr>
        <b/>
        <u/>
        <sz val="16"/>
        <color rgb="FFC00000"/>
        <rFont val="Calibri"/>
        <family val="2"/>
        <scheme val="minor"/>
      </rPr>
      <t>Notes for customization:</t>
    </r>
    <r>
      <rPr>
        <b/>
        <u/>
        <sz val="12"/>
        <color rgb="FFC00000"/>
        <rFont val="Calibri"/>
        <family val="2"/>
        <scheme val="minor"/>
      </rPr>
      <t xml:space="preserve">
</t>
    </r>
    <r>
      <rPr>
        <b/>
        <sz val="12"/>
        <color rgb="FFC00000"/>
        <rFont val="Calibri"/>
        <family val="2"/>
        <scheme val="minor"/>
      </rPr>
      <t>• The PST is pre-calibrated based on international best practices. If desired, the user can customize the PST to incorporate country-specific requirements.
• There are nine levels of customization available to the user. The options range from selecting the prerequisite conditions, and potential deal breakers, to altering weights for parameters, sub-parameters, questions and ratios for qualitative cum quantitative assessment scoring, modifying threshold levels for overarching score constraints and overall project score constraints.
• Customization can be done on (i) Admin and (ii) Data Analysis sheets. 
• The user will need to unhide the sheets to undertake any customization.
• Instructions are provided below on the process for customization. Only yellow shaded cells in the sheets can be modified. 
• The user may refer to the User Manual for the PST for detailed instructions on customization of the PST.</t>
    </r>
  </si>
  <si>
    <t xml:space="preserve">Altering the default threshold and score constraint for specific parameters </t>
  </si>
  <si>
    <t>B66:N71</t>
  </si>
  <si>
    <t>L68:N71, N68:N71</t>
  </si>
  <si>
    <t>H10: K16</t>
  </si>
  <si>
    <t>A10: E143</t>
  </si>
  <si>
    <t>H) Foreign Exchange Risk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</si>
</sst>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 #,##0.00_ ;_ * \-#,##0.00_ ;_ * &quot;-&quot;??_ ;_ @_ "/>
    <numFmt numFmtId="165" formatCode="0.0"/>
    <numFmt numFmtId="166" formatCode="[$-409]d\-mmm\-yyyy;@"/>
    <numFmt numFmtId="167" formatCode="\-"/>
    <numFmt numFmtId="168" formatCode="0.0%"/>
    <numFmt numFmtId="169" formatCode="0.0000%"/>
    <numFmt numFmtId="170" formatCode="0.00000%"/>
    <numFmt numFmtId="171" formatCode="0.000000%"/>
    <numFmt numFmtId="172" formatCode="0.000%"/>
    <numFmt numFmtId="173" formatCode="0.0000000%"/>
    <numFmt numFmtId="174" formatCode="0.00000"/>
    <numFmt numFmtId="175" formatCode="0.00000000000"/>
  </numFmts>
  <fonts count="174" x14ac:knownFonts="1">
    <font>
      <sz val="11"/>
      <color theme="1"/>
      <name val="Calibri"/>
      <family val="2"/>
      <scheme val="minor"/>
    </font>
    <font>
      <sz val="11"/>
      <color theme="1"/>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0"/>
      <name val="Arial"/>
      <family val="2"/>
    </font>
    <font>
      <sz val="10"/>
      <color theme="0"/>
      <name val="Calibri"/>
      <family val="2"/>
      <scheme val="minor"/>
    </font>
    <font>
      <b/>
      <sz val="10"/>
      <color theme="1"/>
      <name val="Calibri"/>
      <family val="2"/>
      <scheme val="minor"/>
    </font>
    <font>
      <b/>
      <sz val="11"/>
      <color rgb="FFFF0000"/>
      <name val="Calibri"/>
      <family val="2"/>
      <scheme val="minor"/>
    </font>
    <font>
      <b/>
      <sz val="20"/>
      <color theme="1"/>
      <name val="Calibri"/>
      <family val="2"/>
      <scheme val="minor"/>
    </font>
    <font>
      <sz val="10"/>
      <name val="Calibri"/>
      <family val="2"/>
      <scheme val="minor"/>
    </font>
    <font>
      <b/>
      <sz val="10"/>
      <color theme="0"/>
      <name val="Calibri"/>
      <family val="2"/>
      <scheme val="minor"/>
    </font>
    <font>
      <b/>
      <sz val="11"/>
      <color rgb="FFC00000"/>
      <name val="Calibri"/>
      <family val="2"/>
      <scheme val="minor"/>
    </font>
    <font>
      <b/>
      <sz val="11"/>
      <name val="Calibri"/>
      <family val="2"/>
      <scheme val="minor"/>
    </font>
    <font>
      <b/>
      <sz val="12"/>
      <name val="Calibri"/>
      <family val="2"/>
      <scheme val="minor"/>
    </font>
    <font>
      <b/>
      <sz val="14"/>
      <name val="Calibri"/>
      <family val="2"/>
      <scheme val="minor"/>
    </font>
    <font>
      <b/>
      <sz val="12"/>
      <color theme="0"/>
      <name val="Calibri"/>
      <family val="2"/>
      <scheme val="minor"/>
    </font>
    <font>
      <sz val="22"/>
      <color theme="0"/>
      <name val="Calibri"/>
      <family val="2"/>
      <scheme val="minor"/>
    </font>
    <font>
      <b/>
      <sz val="22"/>
      <color theme="0"/>
      <name val="Calibri"/>
      <family val="2"/>
      <scheme val="minor"/>
    </font>
    <font>
      <b/>
      <sz val="11"/>
      <color rgb="FFFFFF00"/>
      <name val="Calibri"/>
      <family val="2"/>
      <scheme val="minor"/>
    </font>
    <font>
      <i/>
      <sz val="10"/>
      <color theme="1"/>
      <name val="Calibri"/>
      <family val="2"/>
      <scheme val="minor"/>
    </font>
    <font>
      <sz val="10"/>
      <color rgb="FF000000"/>
      <name val="Calibri"/>
      <family val="2"/>
    </font>
    <font>
      <sz val="20"/>
      <color theme="1"/>
      <name val="Calibri"/>
      <family val="2"/>
      <scheme val="minor"/>
    </font>
    <font>
      <b/>
      <sz val="12"/>
      <color theme="1"/>
      <name val="Calibri"/>
      <family val="2"/>
      <scheme val="minor"/>
    </font>
    <font>
      <sz val="12"/>
      <color theme="1"/>
      <name val="Calibri"/>
      <family val="2"/>
      <scheme val="minor"/>
    </font>
    <font>
      <b/>
      <u/>
      <sz val="20"/>
      <color theme="1"/>
      <name val="Calibri"/>
      <family val="2"/>
      <scheme val="minor"/>
    </font>
    <font>
      <b/>
      <sz val="26"/>
      <color theme="1"/>
      <name val="Calibri"/>
      <family val="2"/>
      <scheme val="minor"/>
    </font>
    <font>
      <sz val="11"/>
      <color theme="1"/>
      <name val="Calibri"/>
      <family val="2"/>
    </font>
    <font>
      <b/>
      <u/>
      <sz val="12"/>
      <name val="Calibri"/>
      <family val="2"/>
      <scheme val="minor"/>
    </font>
    <font>
      <b/>
      <u/>
      <sz val="11"/>
      <name val="Calibri"/>
      <family val="2"/>
      <scheme val="minor"/>
    </font>
    <font>
      <b/>
      <sz val="11"/>
      <color rgb="FFC00000"/>
      <name val="Calibri"/>
      <family val="2"/>
    </font>
    <font>
      <sz val="12"/>
      <name val="Calibri"/>
      <family val="2"/>
      <scheme val="minor"/>
    </font>
    <font>
      <sz val="12"/>
      <color theme="0"/>
      <name val="Calibri"/>
      <family val="2"/>
      <scheme val="minor"/>
    </font>
    <font>
      <sz val="11"/>
      <color rgb="FFC00000"/>
      <name val="Calibri"/>
      <family val="2"/>
    </font>
    <font>
      <sz val="11"/>
      <color rgb="FFC00000"/>
      <name val="Calibri"/>
      <family val="2"/>
      <scheme val="minor"/>
    </font>
    <font>
      <b/>
      <sz val="10"/>
      <name val="Calibri"/>
      <family val="2"/>
      <scheme val="minor"/>
    </font>
    <font>
      <i/>
      <sz val="11"/>
      <name val="Calibri"/>
      <family val="2"/>
      <scheme val="minor"/>
    </font>
    <font>
      <sz val="11"/>
      <color rgb="FFFF0000"/>
      <name val="Calibri"/>
      <family val="2"/>
      <scheme val="minor"/>
    </font>
    <font>
      <sz val="11"/>
      <name val="Calibri"/>
      <family val="2"/>
    </font>
    <font>
      <b/>
      <sz val="11"/>
      <color theme="3"/>
      <name val="Calibri"/>
      <family val="2"/>
      <scheme val="minor"/>
    </font>
    <font>
      <b/>
      <sz val="22"/>
      <name val="Calibri"/>
      <family val="2"/>
      <scheme val="minor"/>
    </font>
    <font>
      <sz val="9"/>
      <color theme="1"/>
      <name val="Calibri"/>
      <family val="2"/>
      <scheme val="minor"/>
    </font>
    <font>
      <b/>
      <sz val="20"/>
      <name val="Calibri"/>
      <family val="2"/>
      <scheme val="minor"/>
    </font>
    <font>
      <sz val="20"/>
      <name val="Calibri"/>
      <family val="2"/>
      <scheme val="minor"/>
    </font>
    <font>
      <b/>
      <sz val="22"/>
      <color rgb="FFFF0000"/>
      <name val="Calibri"/>
      <family val="2"/>
      <scheme val="minor"/>
    </font>
    <font>
      <sz val="11"/>
      <color theme="0" tint="-0.249977111117893"/>
      <name val="Calibri"/>
      <family val="2"/>
      <scheme val="minor"/>
    </font>
    <font>
      <sz val="11"/>
      <color theme="0" tint="-0.499984740745262"/>
      <name val="Calibri"/>
      <family val="2"/>
      <scheme val="minor"/>
    </font>
    <font>
      <b/>
      <sz val="8"/>
      <color theme="1"/>
      <name val="Calibri"/>
      <family val="2"/>
      <scheme val="minor"/>
    </font>
    <font>
      <b/>
      <sz val="8"/>
      <name val="Calibri"/>
      <family val="2"/>
      <scheme val="minor"/>
    </font>
    <font>
      <b/>
      <sz val="14"/>
      <color theme="1"/>
      <name val="Calibri"/>
      <family val="2"/>
      <scheme val="minor"/>
    </font>
    <font>
      <sz val="14"/>
      <color theme="0" tint="-0.249977111117893"/>
      <name val="Calibri"/>
      <family val="2"/>
      <scheme val="minor"/>
    </font>
    <font>
      <sz val="14"/>
      <color theme="1"/>
      <name val="Calibri"/>
      <family val="2"/>
      <scheme val="minor"/>
    </font>
    <font>
      <sz val="11"/>
      <color theme="1" tint="0.499984740745262"/>
      <name val="Calibri"/>
      <family val="2"/>
      <scheme val="minor"/>
    </font>
    <font>
      <b/>
      <sz val="18"/>
      <name val="Calibri"/>
      <family val="2"/>
      <scheme val="minor"/>
    </font>
    <font>
      <b/>
      <sz val="11"/>
      <color theme="1" tint="0.499984740745262"/>
      <name val="Calibri"/>
      <family val="2"/>
      <scheme val="minor"/>
    </font>
    <font>
      <b/>
      <sz val="8"/>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u/>
      <sz val="11"/>
      <color theme="10"/>
      <name val="Calibri"/>
      <family val="2"/>
      <scheme val="minor"/>
    </font>
    <font>
      <sz val="14"/>
      <color theme="0"/>
      <name val="Calibri"/>
      <family val="2"/>
      <scheme val="minor"/>
    </font>
    <font>
      <b/>
      <sz val="14"/>
      <color theme="0"/>
      <name val="Calibri"/>
      <family val="2"/>
      <scheme val="minor"/>
    </font>
    <font>
      <b/>
      <sz val="16"/>
      <color theme="0"/>
      <name val="Calibri"/>
      <family val="2"/>
      <scheme val="minor"/>
    </font>
    <font>
      <b/>
      <sz val="16"/>
      <name val="Calibri"/>
      <family val="2"/>
      <scheme val="minor"/>
    </font>
    <font>
      <b/>
      <sz val="18"/>
      <color theme="0"/>
      <name val="Calibri"/>
      <family val="2"/>
      <scheme val="minor"/>
    </font>
    <font>
      <b/>
      <u/>
      <sz val="11"/>
      <color theme="0"/>
      <name val="Calibri"/>
      <family val="2"/>
      <scheme val="minor"/>
    </font>
    <font>
      <b/>
      <sz val="12"/>
      <color rgb="FFC00000"/>
      <name val="Calibri"/>
      <family val="2"/>
      <scheme val="minor"/>
    </font>
    <font>
      <b/>
      <sz val="14"/>
      <color rgb="FFFFFF00"/>
      <name val="Calibri"/>
      <family val="2"/>
      <scheme val="minor"/>
    </font>
    <font>
      <sz val="10"/>
      <color rgb="FFC00000"/>
      <name val="Calibri"/>
      <family val="2"/>
      <scheme val="minor"/>
    </font>
    <font>
      <b/>
      <u/>
      <sz val="14"/>
      <color theme="0" tint="-0.499984740745262"/>
      <name val="Calibri"/>
      <family val="2"/>
      <scheme val="minor"/>
    </font>
    <font>
      <b/>
      <sz val="14"/>
      <color theme="0" tint="-0.499984740745262"/>
      <name val="Calibri"/>
      <family val="2"/>
      <scheme val="minor"/>
    </font>
    <font>
      <b/>
      <sz val="16"/>
      <color theme="0" tint="-0.499984740745262"/>
      <name val="Calibri"/>
      <family val="2"/>
      <scheme val="minor"/>
    </font>
    <font>
      <u/>
      <sz val="11"/>
      <color theme="1"/>
      <name val="Calibri"/>
      <family val="2"/>
      <scheme val="minor"/>
    </font>
    <font>
      <b/>
      <sz val="20"/>
      <name val="Wingdings"/>
      <charset val="2"/>
    </font>
    <font>
      <b/>
      <sz val="20"/>
      <color theme="0"/>
      <name val="Calibri"/>
      <family val="2"/>
      <scheme val="minor"/>
    </font>
    <font>
      <b/>
      <sz val="28"/>
      <color theme="0"/>
      <name val="Calibri"/>
      <family val="2"/>
      <scheme val="minor"/>
    </font>
    <font>
      <b/>
      <u/>
      <sz val="11"/>
      <color theme="8" tint="0.59999389629810485"/>
      <name val="Calibri"/>
      <family val="2"/>
      <scheme val="minor"/>
    </font>
    <font>
      <b/>
      <u/>
      <sz val="14"/>
      <color theme="1"/>
      <name val="Calibri"/>
      <family val="2"/>
      <scheme val="minor"/>
    </font>
    <font>
      <u/>
      <sz val="12"/>
      <color theme="1"/>
      <name val="Calibri"/>
      <family val="2"/>
      <scheme val="minor"/>
    </font>
    <font>
      <b/>
      <u/>
      <sz val="12"/>
      <color theme="1"/>
      <name val="Calibri"/>
      <family val="2"/>
      <scheme val="minor"/>
    </font>
    <font>
      <b/>
      <u/>
      <sz val="12"/>
      <color theme="8" tint="0.59999389629810485"/>
      <name val="Calibri"/>
      <family val="2"/>
      <scheme val="minor"/>
    </font>
    <font>
      <b/>
      <u/>
      <sz val="12"/>
      <color rgb="FFFF3300"/>
      <name val="Calibri"/>
      <family val="2"/>
      <scheme val="minor"/>
    </font>
    <font>
      <b/>
      <u/>
      <sz val="11"/>
      <color rgb="FFC00000"/>
      <name val="Calibri"/>
      <family val="2"/>
      <scheme val="minor"/>
    </font>
    <font>
      <b/>
      <u/>
      <sz val="14"/>
      <color rgb="FFC00000"/>
      <name val="Calibri"/>
      <family val="2"/>
      <scheme val="minor"/>
    </font>
    <font>
      <b/>
      <i/>
      <sz val="10"/>
      <color theme="1"/>
      <name val="Calibri"/>
      <family val="2"/>
      <scheme val="minor"/>
    </font>
    <font>
      <sz val="11"/>
      <color theme="2"/>
      <name val="Calibri"/>
      <family val="2"/>
      <scheme val="minor"/>
    </font>
    <font>
      <b/>
      <sz val="14"/>
      <color theme="2"/>
      <name val="Calibri"/>
      <family val="2"/>
      <scheme val="minor"/>
    </font>
    <font>
      <sz val="20"/>
      <color rgb="FFFF0000"/>
      <name val="Calibri"/>
      <family val="2"/>
      <scheme val="minor"/>
    </font>
    <font>
      <b/>
      <sz val="12"/>
      <name val="Calibri"/>
      <family val="2"/>
    </font>
    <font>
      <b/>
      <sz val="14"/>
      <color rgb="FFFF0000"/>
      <name val="Calibri"/>
      <family val="2"/>
      <scheme val="minor"/>
    </font>
    <font>
      <sz val="11"/>
      <color theme="0" tint="-0.499984740745262"/>
      <name val="Calibri"/>
      <family val="2"/>
    </font>
    <font>
      <b/>
      <sz val="18"/>
      <color theme="1"/>
      <name val="Calibri"/>
      <family val="2"/>
      <scheme val="minor"/>
    </font>
    <font>
      <b/>
      <sz val="10"/>
      <color rgb="FFC00000"/>
      <name val="Calibri"/>
      <family val="2"/>
      <scheme val="minor"/>
    </font>
    <font>
      <b/>
      <sz val="8"/>
      <color theme="0"/>
      <name val="Calibri"/>
      <family val="2"/>
      <scheme val="minor"/>
    </font>
    <font>
      <b/>
      <sz val="12"/>
      <color rgb="FFFFFF00"/>
      <name val="Calibri"/>
      <family val="2"/>
      <scheme val="minor"/>
    </font>
    <font>
      <b/>
      <u/>
      <sz val="11"/>
      <color theme="1"/>
      <name val="Calibri"/>
      <family val="2"/>
      <scheme val="minor"/>
    </font>
    <font>
      <b/>
      <u/>
      <sz val="11"/>
      <color rgb="FFFF0000"/>
      <name val="Calibri"/>
      <family val="2"/>
      <scheme val="minor"/>
    </font>
    <font>
      <b/>
      <sz val="12"/>
      <color rgb="FFFF0000"/>
      <name val="Calibri"/>
      <family val="2"/>
      <scheme val="minor"/>
    </font>
    <font>
      <u/>
      <sz val="11"/>
      <name val="Calibri"/>
      <family val="2"/>
      <scheme val="minor"/>
    </font>
    <font>
      <b/>
      <u/>
      <sz val="20"/>
      <color theme="1"/>
      <name val="Aharoni"/>
    </font>
    <font>
      <b/>
      <sz val="20"/>
      <color theme="1"/>
      <name val="Aharoni"/>
    </font>
    <font>
      <b/>
      <sz val="22"/>
      <color theme="0"/>
      <name val="Aharoni"/>
    </font>
    <font>
      <b/>
      <sz val="20"/>
      <name val="Aharoni"/>
    </font>
    <font>
      <b/>
      <sz val="20"/>
      <color theme="0"/>
      <name val="Aharoni"/>
    </font>
    <font>
      <b/>
      <sz val="20"/>
      <color rgb="FFFFFF00"/>
      <name val="Calibri"/>
      <family val="2"/>
      <scheme val="minor"/>
    </font>
    <font>
      <b/>
      <sz val="11"/>
      <name val="Calibri"/>
      <family val="2"/>
    </font>
    <font>
      <b/>
      <sz val="20"/>
      <color theme="0"/>
      <name val="Calibri"/>
      <family val="2"/>
    </font>
    <font>
      <sz val="9"/>
      <color theme="1"/>
      <name val="Arial"/>
      <family val="2"/>
    </font>
    <font>
      <sz val="9"/>
      <color theme="0"/>
      <name val="Calibri"/>
      <family val="2"/>
      <scheme val="minor"/>
    </font>
    <font>
      <sz val="12"/>
      <color rgb="FFC00000"/>
      <name val="Calibri"/>
      <family val="2"/>
      <scheme val="minor"/>
    </font>
    <font>
      <b/>
      <sz val="12"/>
      <color rgb="FF000000"/>
      <name val="Arial"/>
      <family val="2"/>
    </font>
    <font>
      <sz val="10"/>
      <color rgb="FF000000"/>
      <name val="Arial"/>
      <family val="2"/>
    </font>
    <font>
      <sz val="9"/>
      <color indexed="81"/>
      <name val="Tahoma"/>
      <family val="2"/>
    </font>
    <font>
      <b/>
      <sz val="9"/>
      <color indexed="81"/>
      <name val="Tahoma"/>
      <family val="2"/>
    </font>
    <font>
      <b/>
      <sz val="11"/>
      <color rgb="FF0070C0"/>
      <name val="Calibri"/>
      <family val="2"/>
      <scheme val="minor"/>
    </font>
    <font>
      <i/>
      <sz val="11"/>
      <color theme="0" tint="-0.499984740745262"/>
      <name val="Calibri"/>
      <family val="2"/>
      <scheme val="minor"/>
    </font>
    <font>
      <sz val="10"/>
      <color theme="1"/>
      <name val="Arial"/>
      <family val="2"/>
    </font>
    <font>
      <b/>
      <sz val="12"/>
      <name val="Arial"/>
      <family val="2"/>
    </font>
    <font>
      <b/>
      <sz val="12"/>
      <color theme="1"/>
      <name val="Arial"/>
      <family val="2"/>
    </font>
    <font>
      <b/>
      <sz val="16"/>
      <color theme="1"/>
      <name val="Calibri"/>
      <family val="2"/>
      <scheme val="minor"/>
    </font>
    <font>
      <b/>
      <sz val="11"/>
      <color rgb="FF00B0F0"/>
      <name val="Calibri"/>
      <family val="2"/>
      <scheme val="minor"/>
    </font>
    <font>
      <b/>
      <sz val="24"/>
      <color rgb="FF00B0F0"/>
      <name val="Aharoni"/>
    </font>
    <font>
      <sz val="24"/>
      <color rgb="FF00B0F0"/>
      <name val="Aharoni"/>
    </font>
    <font>
      <b/>
      <sz val="22"/>
      <color rgb="FFC00000"/>
      <name val="Calibri"/>
      <family val="2"/>
      <scheme val="minor"/>
    </font>
    <font>
      <b/>
      <sz val="20"/>
      <color rgb="FFFFFF00"/>
      <name val="Aharoni"/>
    </font>
    <font>
      <sz val="8"/>
      <color rgb="FF000000"/>
      <name val="Segoe UI"/>
      <family val="2"/>
    </font>
    <font>
      <b/>
      <sz val="16"/>
      <color rgb="FFFFFF00"/>
      <name val="Calibri"/>
      <family val="2"/>
      <scheme val="minor"/>
    </font>
    <font>
      <b/>
      <sz val="11"/>
      <color rgb="FFC00000"/>
      <name val="Webdings"/>
      <family val="1"/>
      <charset val="2"/>
    </font>
    <font>
      <sz val="11"/>
      <color rgb="FF00B050"/>
      <name val="Calibri"/>
      <family val="2"/>
    </font>
    <font>
      <sz val="12"/>
      <color rgb="FF00B050"/>
      <name val="Calibri"/>
      <family val="2"/>
      <scheme val="minor"/>
    </font>
    <font>
      <b/>
      <sz val="11"/>
      <color theme="6" tint="0.79998168889431442"/>
      <name val="Calibri"/>
      <family val="2"/>
      <scheme val="minor"/>
    </font>
    <font>
      <b/>
      <sz val="9"/>
      <color theme="1"/>
      <name val="Calibri"/>
      <family val="2"/>
      <scheme val="minor"/>
    </font>
    <font>
      <i/>
      <sz val="11"/>
      <color theme="1"/>
      <name val="Calibri"/>
      <family val="2"/>
      <scheme val="minor"/>
    </font>
    <font>
      <b/>
      <i/>
      <sz val="11"/>
      <color theme="1"/>
      <name val="Calibri"/>
      <family val="2"/>
      <scheme val="minor"/>
    </font>
    <font>
      <b/>
      <sz val="14"/>
      <color rgb="FFC00000"/>
      <name val="Calibri"/>
      <family val="2"/>
      <scheme val="minor"/>
    </font>
    <font>
      <sz val="12"/>
      <color rgb="FFFF0000"/>
      <name val="Calibri"/>
      <family val="2"/>
      <scheme val="minor"/>
    </font>
    <font>
      <sz val="10"/>
      <color rgb="FFFF0000"/>
      <name val="Calibri"/>
      <family val="2"/>
      <scheme val="minor"/>
    </font>
    <font>
      <b/>
      <u/>
      <sz val="16"/>
      <color rgb="FFC00000"/>
      <name val="Calibri"/>
      <family val="2"/>
      <scheme val="minor"/>
    </font>
    <font>
      <b/>
      <u/>
      <sz val="12"/>
      <color rgb="FFC00000"/>
      <name val="Calibri"/>
      <family val="2"/>
      <scheme val="minor"/>
    </font>
    <font>
      <b/>
      <sz val="10"/>
      <color rgb="FF000000"/>
      <name val="Arial"/>
      <family val="2"/>
    </font>
    <font>
      <b/>
      <sz val="10"/>
      <color theme="1"/>
      <name val="Arial"/>
      <family val="2"/>
    </font>
    <font>
      <b/>
      <sz val="10"/>
      <name val="Arial"/>
      <family val="2"/>
    </font>
    <font>
      <b/>
      <sz val="18"/>
      <color rgb="FFFFFF00"/>
      <name val="Calibri"/>
      <family val="2"/>
      <scheme val="minor"/>
    </font>
    <font>
      <b/>
      <sz val="11"/>
      <color rgb="FF7030A0"/>
      <name val="Calibri"/>
      <family val="2"/>
    </font>
    <font>
      <sz val="11"/>
      <color theme="1"/>
      <name val="Calibri"/>
      <family val="2"/>
      <scheme val="minor"/>
    </font>
    <font>
      <b/>
      <sz val="22"/>
      <color theme="0"/>
      <name val="Calibri"/>
      <family val="2"/>
      <scheme val="minor"/>
    </font>
    <font>
      <b/>
      <sz val="16"/>
      <color theme="0"/>
      <name val="Calibri"/>
      <family val="2"/>
      <scheme val="minor"/>
    </font>
    <font>
      <b/>
      <sz val="11"/>
      <color rgb="FFC00000"/>
      <name val="Calibri"/>
      <family val="2"/>
      <scheme val="minor"/>
    </font>
    <font>
      <b/>
      <sz val="12"/>
      <name val="Calibri"/>
      <family val="2"/>
      <scheme val="minor"/>
    </font>
    <font>
      <sz val="12"/>
      <name val="Calibri"/>
      <family val="2"/>
      <scheme val="minor"/>
    </font>
    <font>
      <b/>
      <sz val="12"/>
      <color theme="0"/>
      <name val="Calibri"/>
      <family val="2"/>
      <scheme val="minor"/>
    </font>
    <font>
      <b/>
      <sz val="16"/>
      <color rgb="FFFF0000"/>
      <name val="Calibri"/>
      <family val="2"/>
      <scheme val="minor"/>
    </font>
    <font>
      <b/>
      <sz val="12"/>
      <color theme="1"/>
      <name val="Calibri"/>
      <family val="2"/>
      <scheme val="minor"/>
    </font>
    <font>
      <sz val="12"/>
      <color theme="0"/>
      <name val="Calibri"/>
      <family val="2"/>
      <scheme val="minor"/>
    </font>
    <font>
      <b/>
      <sz val="14"/>
      <color theme="0"/>
      <name val="Calibri"/>
      <family val="2"/>
      <scheme val="minor"/>
    </font>
    <font>
      <b/>
      <sz val="11"/>
      <color theme="1"/>
      <name val="Calibri"/>
      <family val="2"/>
      <scheme val="minor"/>
    </font>
    <font>
      <sz val="8"/>
      <name val="Calibri"/>
      <family val="2"/>
      <scheme val="minor"/>
    </font>
    <font>
      <sz val="11"/>
      <name val="Calibri"/>
      <family val="2"/>
      <scheme val="minor"/>
    </font>
    <font>
      <sz val="8"/>
      <color theme="1"/>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b/>
      <u/>
      <sz val="11"/>
      <color theme="0"/>
      <name val="Calibri"/>
      <family val="2"/>
      <scheme val="minor"/>
    </font>
    <font>
      <b/>
      <u/>
      <sz val="11"/>
      <name val="Calibri"/>
      <family val="2"/>
      <scheme val="minor"/>
    </font>
    <font>
      <sz val="12"/>
      <color rgb="FFFFFF00"/>
      <name val="Calibri"/>
      <family val="2"/>
      <scheme val="minor"/>
    </font>
    <font>
      <sz val="11"/>
      <color rgb="FFFFFF00"/>
      <name val="Calibri"/>
      <family val="2"/>
      <scheme val="minor"/>
    </font>
    <font>
      <b/>
      <sz val="8"/>
      <color rgb="FFFF0000"/>
      <name val="Calibri"/>
      <family val="2"/>
      <scheme val="minor"/>
    </font>
    <font>
      <sz val="8"/>
      <color rgb="FFFF0000"/>
      <name val="Calibri"/>
      <family val="2"/>
      <scheme val="minor"/>
    </font>
    <font>
      <sz val="11"/>
      <color theme="1"/>
      <name val="Wingdings 3"/>
      <family val="1"/>
      <charset val="2"/>
    </font>
    <font>
      <sz val="8"/>
      <color theme="1"/>
      <name val="Arial"/>
      <family val="2"/>
    </font>
    <font>
      <sz val="8"/>
      <color theme="0"/>
      <name val="Calibri"/>
      <family val="2"/>
      <scheme val="minor"/>
    </font>
    <font>
      <i/>
      <sz val="8"/>
      <color theme="1"/>
      <name val="Calibri"/>
      <family val="2"/>
      <scheme val="minor"/>
    </font>
  </fonts>
  <fills count="5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C00000"/>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AC6FE"/>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FDC3F6"/>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5" tint="0.39997558519241921"/>
        <bgColor rgb="FF000000"/>
      </patternFill>
    </fill>
    <fill>
      <patternFill patternType="solid">
        <fgColor theme="7" tint="0.5999938962981048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tint="-0.499984740745262"/>
        <bgColor rgb="FF000000"/>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rgb="FF000000"/>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E293FB"/>
        <bgColor indexed="64"/>
      </patternFill>
    </fill>
    <fill>
      <patternFill patternType="solid">
        <fgColor theme="6" tint="0.79998168889431442"/>
        <bgColor rgb="FF000000"/>
      </patternFill>
    </fill>
    <fill>
      <patternFill patternType="solid">
        <fgColor theme="3" tint="0.39997558519241921"/>
        <bgColor rgb="FF000000"/>
      </patternFill>
    </fill>
    <fill>
      <patternFill patternType="solid">
        <fgColor rgb="FFFFC000"/>
        <bgColor indexed="64"/>
      </patternFill>
    </fill>
    <fill>
      <patternFill patternType="solid">
        <fgColor theme="5"/>
        <bgColor indexed="64"/>
      </patternFill>
    </fill>
    <fill>
      <patternFill patternType="solid">
        <fgColor theme="5" tint="-0.249977111117893"/>
        <bgColor indexed="64"/>
      </patternFill>
    </fill>
    <fill>
      <patternFill patternType="solid">
        <fgColor rgb="FFFF0000"/>
        <bgColor indexed="64"/>
      </patternFill>
    </fill>
    <fill>
      <patternFill patternType="solid">
        <fgColor rgb="FFCCFF66"/>
        <bgColor indexed="64"/>
      </patternFill>
    </fill>
    <fill>
      <patternFill patternType="solid">
        <fgColor rgb="FF99CC00"/>
        <bgColor indexed="64"/>
      </patternFill>
    </fill>
    <fill>
      <patternFill patternType="solid">
        <fgColor theme="9"/>
        <bgColor indexed="64"/>
      </patternFill>
    </fill>
    <fill>
      <patternFill patternType="solid">
        <fgColor theme="9" tint="-0.499984740745262"/>
        <bgColor indexed="64"/>
      </patternFill>
    </fill>
    <fill>
      <patternFill patternType="solid">
        <fgColor rgb="FF00B0F0"/>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5050"/>
        <bgColor indexed="64"/>
      </patternFill>
    </fill>
    <fill>
      <patternFill patternType="solid">
        <fgColor theme="4" tint="0.79998168889431442"/>
        <bgColor indexed="64"/>
      </patternFill>
    </fill>
    <fill>
      <patternFill patternType="solid">
        <fgColor theme="0" tint="-0.14999847407452621"/>
        <bgColor rgb="FF000000"/>
      </patternFill>
    </fill>
    <fill>
      <patternFill patternType="solid">
        <fgColor theme="1" tint="0.249977111117893"/>
        <bgColor indexed="64"/>
      </patternFill>
    </fill>
    <fill>
      <patternFill patternType="solid">
        <fgColor theme="6" tint="0.59999389629810485"/>
        <bgColor indexed="64"/>
      </patternFill>
    </fill>
  </fills>
  <borders count="89">
    <border>
      <left/>
      <right/>
      <top/>
      <bottom/>
      <diagonal/>
    </border>
    <border>
      <left/>
      <right/>
      <top/>
      <bottom style="double">
        <color rgb="FFFF8001"/>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double">
        <color theme="0" tint="-0.499984740745262"/>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double">
        <color theme="0" tint="-0.499984740745262"/>
      </left>
      <right/>
      <top style="double">
        <color theme="0" tint="-0.499984740745262"/>
      </top>
      <bottom/>
      <diagonal/>
    </border>
    <border>
      <left style="medium">
        <color theme="0"/>
      </left>
      <right/>
      <top/>
      <bottom/>
      <diagonal/>
    </border>
    <border>
      <left/>
      <right/>
      <top/>
      <bottom style="thin">
        <color theme="0"/>
      </bottom>
      <diagonal/>
    </border>
    <border>
      <left/>
      <right/>
      <top style="thin">
        <color indexed="64"/>
      </top>
      <bottom style="thin">
        <color theme="0"/>
      </bottom>
      <diagonal/>
    </border>
    <border>
      <left/>
      <right/>
      <top style="thin">
        <color theme="0"/>
      </top>
      <bottom/>
      <diagonal/>
    </border>
    <border>
      <left/>
      <right/>
      <top style="thin">
        <color theme="0"/>
      </top>
      <bottom style="thin">
        <color theme="0"/>
      </bottom>
      <diagonal/>
    </border>
    <border>
      <left style="medium">
        <color theme="0"/>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theme="0"/>
      </left>
      <right/>
      <top style="medium">
        <color indexed="64"/>
      </top>
      <bottom/>
      <diagonal/>
    </border>
    <border>
      <left style="medium">
        <color indexed="64"/>
      </left>
      <right style="medium">
        <color theme="0"/>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top style="thin">
        <color theme="0"/>
      </top>
      <bottom style="thin">
        <color indexed="64"/>
      </bottom>
      <diagonal/>
    </border>
    <border>
      <left style="thin">
        <color indexed="64"/>
      </left>
      <right/>
      <top/>
      <bottom style="thin">
        <color indexed="64"/>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right/>
      <top/>
      <bottom style="double">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thin">
        <color theme="6" tint="0.59996337778862885"/>
      </left>
      <right/>
      <top/>
      <bottom/>
      <diagonal/>
    </border>
    <border>
      <left/>
      <right/>
      <top style="thin">
        <color indexed="64"/>
      </top>
      <bottom style="double">
        <color indexed="64"/>
      </bottom>
      <diagonal/>
    </border>
  </borders>
  <cellStyleXfs count="9">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8" fillId="0" borderId="0"/>
    <xf numFmtId="0" fontId="8" fillId="0" borderId="0"/>
    <xf numFmtId="0" fontId="16" fillId="13" borderId="0"/>
    <xf numFmtId="164" fontId="1" fillId="0" borderId="0" applyFont="0" applyFill="0" applyBorder="0" applyAlignment="0" applyProtection="0"/>
    <xf numFmtId="0" fontId="61" fillId="0" borderId="0" applyNumberFormat="0" applyFill="0" applyBorder="0" applyAlignment="0" applyProtection="0"/>
  </cellStyleXfs>
  <cellXfs count="2556">
    <xf numFmtId="0" fontId="0" fillId="0" borderId="0" xfId="0"/>
    <xf numFmtId="0" fontId="0" fillId="4" borderId="0" xfId="0" applyFill="1"/>
    <xf numFmtId="0" fontId="5" fillId="4" borderId="0" xfId="0" applyFont="1" applyFill="1"/>
    <xf numFmtId="0" fontId="3" fillId="4" borderId="0" xfId="0" applyFont="1" applyFill="1"/>
    <xf numFmtId="0" fontId="0" fillId="5" borderId="0" xfId="0" applyFill="1" applyBorder="1"/>
    <xf numFmtId="0" fontId="0" fillId="4" borderId="0" xfId="0" applyFont="1" applyFill="1"/>
    <xf numFmtId="0" fontId="3" fillId="4" borderId="1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14" borderId="0" xfId="0" applyFont="1" applyFill="1" applyBorder="1" applyAlignment="1">
      <alignment horizontal="center"/>
    </xf>
    <xf numFmtId="0" fontId="4" fillId="14" borderId="5" xfId="0" applyFont="1" applyFill="1" applyBorder="1" applyAlignment="1">
      <alignment horizontal="center"/>
    </xf>
    <xf numFmtId="0" fontId="20" fillId="4" borderId="24" xfId="0" applyFont="1" applyFill="1" applyBorder="1"/>
    <xf numFmtId="0" fontId="20" fillId="4" borderId="23" xfId="0" applyFont="1" applyFill="1" applyBorder="1"/>
    <xf numFmtId="0" fontId="0" fillId="2" borderId="0" xfId="0" applyFill="1"/>
    <xf numFmtId="0" fontId="0" fillId="2" borderId="0" xfId="0" applyFill="1" applyBorder="1"/>
    <xf numFmtId="0" fontId="6" fillId="5" borderId="18" xfId="0" applyFont="1" applyFill="1" applyBorder="1"/>
    <xf numFmtId="0" fontId="6" fillId="5" borderId="5" xfId="0" applyFont="1" applyFill="1" applyBorder="1"/>
    <xf numFmtId="0" fontId="6" fillId="12" borderId="0" xfId="0" applyFont="1" applyFill="1" applyBorder="1"/>
    <xf numFmtId="0" fontId="4" fillId="14" borderId="0" xfId="0" applyFont="1" applyFill="1" applyBorder="1" applyAlignment="1">
      <alignment horizontal="left" vertical="top"/>
    </xf>
    <xf numFmtId="9" fontId="16" fillId="18" borderId="0" xfId="0" applyNumberFormat="1" applyFont="1" applyFill="1" applyBorder="1" applyAlignment="1">
      <alignment horizontal="center"/>
    </xf>
    <xf numFmtId="9" fontId="16" fillId="12" borderId="0" xfId="0" applyNumberFormat="1" applyFont="1" applyFill="1" applyBorder="1" applyAlignment="1">
      <alignment horizontal="center"/>
    </xf>
    <xf numFmtId="9" fontId="16" fillId="17" borderId="0" xfId="0" applyNumberFormat="1" applyFont="1" applyFill="1" applyBorder="1" applyAlignment="1">
      <alignment horizontal="center"/>
    </xf>
    <xf numFmtId="9" fontId="16" fillId="15" borderId="0" xfId="0" applyNumberFormat="1" applyFont="1" applyFill="1" applyBorder="1" applyAlignment="1">
      <alignment horizontal="center"/>
    </xf>
    <xf numFmtId="2" fontId="4" fillId="9" borderId="0" xfId="0" applyNumberFormat="1" applyFont="1" applyFill="1" applyBorder="1" applyAlignment="1">
      <alignment horizontal="center" vertical="center" wrapText="1"/>
    </xf>
    <xf numFmtId="0" fontId="16" fillId="10" borderId="0" xfId="3" applyFont="1" applyFill="1" applyBorder="1" applyAlignment="1" applyProtection="1">
      <alignment horizontal="right" vertical="center" wrapText="1"/>
    </xf>
    <xf numFmtId="0" fontId="16" fillId="17" borderId="0" xfId="3" applyFont="1" applyFill="1" applyBorder="1" applyAlignment="1" applyProtection="1">
      <alignment horizontal="right" vertical="center" wrapText="1"/>
    </xf>
    <xf numFmtId="0" fontId="16" fillId="12" borderId="0" xfId="3" applyFont="1" applyFill="1" applyBorder="1" applyAlignment="1" applyProtection="1">
      <alignment horizontal="right" vertical="center" wrapText="1"/>
    </xf>
    <xf numFmtId="0" fontId="10" fillId="2" borderId="0" xfId="0" applyFont="1" applyFill="1" applyAlignment="1">
      <alignment vertical="top" wrapText="1"/>
    </xf>
    <xf numFmtId="0" fontId="23" fillId="2" borderId="0" xfId="0" applyFont="1" applyFill="1" applyAlignment="1">
      <alignment vertical="top" wrapText="1"/>
    </xf>
    <xf numFmtId="0" fontId="7" fillId="2" borderId="0" xfId="0" applyFont="1" applyFill="1" applyAlignment="1">
      <alignment vertical="top" wrapText="1"/>
    </xf>
    <xf numFmtId="0" fontId="14" fillId="2" borderId="15" xfId="0" applyFont="1" applyFill="1" applyBorder="1" applyAlignment="1">
      <alignment vertical="top" wrapText="1"/>
    </xf>
    <xf numFmtId="0" fontId="14" fillId="2" borderId="17" xfId="0" applyFont="1" applyFill="1" applyBorder="1" applyAlignment="1">
      <alignment vertical="top" wrapText="1"/>
    </xf>
    <xf numFmtId="0" fontId="14" fillId="2" borderId="32" xfId="0" applyFont="1" applyFill="1" applyBorder="1" applyAlignment="1">
      <alignment vertical="top" wrapText="1"/>
    </xf>
    <xf numFmtId="0" fontId="9" fillId="2" borderId="33" xfId="0" applyFont="1" applyFill="1" applyBorder="1" applyAlignment="1">
      <alignment vertical="top" wrapText="1"/>
    </xf>
    <xf numFmtId="0" fontId="7" fillId="2" borderId="19"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12" xfId="0" applyFont="1" applyFill="1" applyBorder="1" applyAlignment="1">
      <alignment horizontal="left" vertical="top" wrapText="1"/>
    </xf>
    <xf numFmtId="0" fontId="6" fillId="2" borderId="0" xfId="0" applyFont="1" applyFill="1"/>
    <xf numFmtId="0" fontId="7" fillId="2" borderId="14" xfId="0" applyFont="1" applyFill="1" applyBorder="1" applyAlignment="1">
      <alignment horizontal="left" vertical="top" wrapText="1"/>
    </xf>
    <xf numFmtId="0" fontId="6" fillId="2" borderId="0" xfId="0" applyFont="1" applyFill="1" applyBorder="1"/>
    <xf numFmtId="9" fontId="16" fillId="16" borderId="16" xfId="0" applyNumberFormat="1" applyFont="1" applyFill="1" applyBorder="1" applyAlignment="1">
      <alignment horizontal="center"/>
    </xf>
    <xf numFmtId="2" fontId="4" fillId="9" borderId="20" xfId="0" applyNumberFormat="1" applyFont="1" applyFill="1" applyBorder="1" applyAlignment="1">
      <alignment horizontal="center" vertical="center" wrapText="1"/>
    </xf>
    <xf numFmtId="0" fontId="16" fillId="16" borderId="15" xfId="0" applyFont="1" applyFill="1" applyBorder="1" applyAlignment="1">
      <alignment horizontal="center"/>
    </xf>
    <xf numFmtId="0" fontId="5" fillId="4" borderId="0" xfId="0" applyFont="1" applyFill="1"/>
    <xf numFmtId="0" fontId="3" fillId="4" borderId="16" xfId="0" applyFont="1" applyFill="1" applyBorder="1" applyAlignment="1">
      <alignment horizontal="center" vertical="center" wrapText="1"/>
    </xf>
    <xf numFmtId="0" fontId="4" fillId="14" borderId="4" xfId="0" applyFont="1" applyFill="1" applyBorder="1" applyAlignment="1">
      <alignment horizontal="center"/>
    </xf>
    <xf numFmtId="0" fontId="6" fillId="5" borderId="0" xfId="0" applyFont="1" applyFill="1" applyBorder="1"/>
    <xf numFmtId="0" fontId="4" fillId="14" borderId="20" xfId="0" applyFont="1" applyFill="1" applyBorder="1" applyAlignment="1">
      <alignment horizontal="center"/>
    </xf>
    <xf numFmtId="0" fontId="0" fillId="2" borderId="0" xfId="0" applyFill="1"/>
    <xf numFmtId="0" fontId="16" fillId="2" borderId="0" xfId="3" applyFont="1" applyFill="1" applyBorder="1" applyAlignment="1" applyProtection="1">
      <alignment horizontal="right" vertical="center" wrapText="1"/>
    </xf>
    <xf numFmtId="0" fontId="4" fillId="5" borderId="0" xfId="0" applyFont="1" applyFill="1" applyBorder="1" applyAlignment="1"/>
    <xf numFmtId="0" fontId="0" fillId="2" borderId="0" xfId="0" applyFill="1" applyAlignment="1"/>
    <xf numFmtId="0" fontId="4" fillId="2" borderId="0" xfId="0" applyFont="1" applyFill="1" applyBorder="1"/>
    <xf numFmtId="0" fontId="16" fillId="5" borderId="0" xfId="0" applyFont="1" applyFill="1" applyBorder="1"/>
    <xf numFmtId="0" fontId="3" fillId="4" borderId="0" xfId="0" applyFont="1" applyFill="1" applyBorder="1" applyAlignment="1"/>
    <xf numFmtId="0" fontId="49" fillId="2" borderId="0" xfId="0" applyFont="1" applyFill="1"/>
    <xf numFmtId="0" fontId="16" fillId="2" borderId="0" xfId="0" applyFont="1" applyFill="1" applyBorder="1"/>
    <xf numFmtId="0" fontId="48" fillId="5" borderId="0" xfId="0" applyFont="1" applyFill="1" applyBorder="1"/>
    <xf numFmtId="0" fontId="50" fillId="5" borderId="0" xfId="0" applyFont="1" applyFill="1" applyBorder="1" applyAlignment="1"/>
    <xf numFmtId="0" fontId="21" fillId="4" borderId="23" xfId="0" applyFont="1" applyFill="1" applyBorder="1" applyAlignment="1"/>
    <xf numFmtId="0" fontId="6" fillId="2" borderId="0" xfId="0" applyFont="1" applyFill="1" applyAlignment="1"/>
    <xf numFmtId="0" fontId="6" fillId="2" borderId="0" xfId="0" applyFont="1" applyFill="1" applyBorder="1" applyAlignment="1"/>
    <xf numFmtId="0" fontId="6" fillId="5" borderId="0" xfId="0" applyFont="1" applyFill="1" applyBorder="1" applyAlignment="1"/>
    <xf numFmtId="0" fontId="6" fillId="5" borderId="5" xfId="0" applyFont="1" applyFill="1" applyBorder="1" applyAlignment="1"/>
    <xf numFmtId="0" fontId="52" fillId="5" borderId="0" xfId="0" applyFont="1" applyFill="1" applyBorder="1"/>
    <xf numFmtId="0" fontId="53" fillId="5" borderId="0" xfId="0" applyFont="1" applyFill="1" applyBorder="1"/>
    <xf numFmtId="2" fontId="16" fillId="5" borderId="0" xfId="0" applyNumberFormat="1" applyFont="1" applyFill="1" applyBorder="1" applyAlignment="1">
      <alignment horizontal="left"/>
    </xf>
    <xf numFmtId="0" fontId="16" fillId="5" borderId="0" xfId="0" applyFont="1" applyFill="1" applyBorder="1" applyAlignment="1"/>
    <xf numFmtId="0" fontId="5" fillId="5" borderId="0" xfId="0" applyFont="1" applyFill="1" applyBorder="1" applyAlignment="1"/>
    <xf numFmtId="0" fontId="4" fillId="2" borderId="0" xfId="0" applyFont="1" applyFill="1" applyBorder="1" applyAlignment="1"/>
    <xf numFmtId="0" fontId="16" fillId="2" borderId="0" xfId="0" applyFont="1" applyFill="1" applyBorder="1" applyAlignment="1"/>
    <xf numFmtId="0" fontId="0" fillId="5" borderId="18" xfId="0" applyFill="1" applyBorder="1"/>
    <xf numFmtId="0" fontId="6" fillId="9" borderId="20" xfId="0" applyFont="1" applyFill="1" applyBorder="1"/>
    <xf numFmtId="0" fontId="6" fillId="9" borderId="4" xfId="0" applyFont="1" applyFill="1" applyBorder="1"/>
    <xf numFmtId="0" fontId="42" fillId="2" borderId="0" xfId="0" applyFont="1" applyFill="1" applyBorder="1" applyAlignment="1">
      <alignment horizontal="center" vertical="center" wrapText="1"/>
    </xf>
    <xf numFmtId="0" fontId="16" fillId="5" borderId="18" xfId="0" applyFont="1" applyFill="1" applyBorder="1"/>
    <xf numFmtId="0" fontId="3" fillId="5" borderId="0" xfId="0" applyFont="1" applyFill="1" applyBorder="1" applyAlignment="1"/>
    <xf numFmtId="0" fontId="3" fillId="5" borderId="0" xfId="0" applyFont="1" applyFill="1" applyBorder="1"/>
    <xf numFmtId="0" fontId="42" fillId="2" borderId="0" xfId="0" applyFont="1" applyFill="1" applyBorder="1" applyAlignment="1">
      <alignment vertical="center"/>
    </xf>
    <xf numFmtId="0" fontId="5" fillId="2" borderId="0" xfId="0" applyFont="1" applyFill="1"/>
    <xf numFmtId="0" fontId="0" fillId="2" borderId="0" xfId="0" applyFill="1" applyBorder="1" applyAlignment="1"/>
    <xf numFmtId="0" fontId="16" fillId="5" borderId="5" xfId="0" applyFont="1" applyFill="1" applyBorder="1"/>
    <xf numFmtId="0" fontId="16" fillId="9" borderId="20" xfId="0" applyFont="1" applyFill="1" applyBorder="1"/>
    <xf numFmtId="0" fontId="16" fillId="5" borderId="5" xfId="0" applyFont="1" applyFill="1" applyBorder="1" applyAlignment="1"/>
    <xf numFmtId="0" fontId="16" fillId="9" borderId="19" xfId="0" applyFont="1" applyFill="1" applyBorder="1"/>
    <xf numFmtId="0" fontId="16" fillId="9" borderId="4" xfId="0" applyFont="1" applyFill="1" applyBorder="1" applyAlignment="1"/>
    <xf numFmtId="0" fontId="20" fillId="4" borderId="52" xfId="0" applyFont="1" applyFill="1" applyBorder="1"/>
    <xf numFmtId="0" fontId="20" fillId="4" borderId="47" xfId="0" applyFont="1" applyFill="1" applyBorder="1"/>
    <xf numFmtId="0" fontId="21" fillId="4" borderId="47" xfId="0" applyFont="1" applyFill="1" applyBorder="1"/>
    <xf numFmtId="0" fontId="3" fillId="5" borderId="18" xfId="0" applyFont="1" applyFill="1" applyBorder="1"/>
    <xf numFmtId="0" fontId="16" fillId="5" borderId="0" xfId="0" applyFont="1" applyFill="1" applyBorder="1" applyAlignment="1">
      <alignment horizontal="right"/>
    </xf>
    <xf numFmtId="0" fontId="5" fillId="5" borderId="0" xfId="0" applyFont="1" applyFill="1"/>
    <xf numFmtId="0" fontId="49" fillId="2" borderId="0" xfId="0" applyFont="1" applyFill="1" applyBorder="1"/>
    <xf numFmtId="0" fontId="5" fillId="5" borderId="18" xfId="0" applyFont="1" applyFill="1" applyBorder="1"/>
    <xf numFmtId="0" fontId="5" fillId="5" borderId="0" xfId="0" applyFont="1" applyFill="1" applyBorder="1"/>
    <xf numFmtId="0" fontId="38" fillId="5" borderId="0" xfId="0" applyFont="1" applyFill="1" applyBorder="1"/>
    <xf numFmtId="0" fontId="38" fillId="5" borderId="0" xfId="0" applyFont="1" applyFill="1" applyBorder="1" applyAlignment="1">
      <alignment horizontal="center" vertical="center" wrapText="1"/>
    </xf>
    <xf numFmtId="0" fontId="38" fillId="5" borderId="0" xfId="0" applyFont="1" applyFill="1" applyBorder="1" applyAlignment="1">
      <alignment vertical="top"/>
    </xf>
    <xf numFmtId="0" fontId="13" fillId="2" borderId="0" xfId="0" applyFont="1" applyFill="1"/>
    <xf numFmtId="0" fontId="13" fillId="2" borderId="0" xfId="0" applyFont="1" applyFill="1" applyBorder="1"/>
    <xf numFmtId="0" fontId="38" fillId="5" borderId="5" xfId="0" applyFont="1" applyFill="1" applyBorder="1"/>
    <xf numFmtId="0" fontId="7" fillId="2" borderId="0" xfId="0" applyFont="1" applyFill="1"/>
    <xf numFmtId="0" fontId="9" fillId="2" borderId="0" xfId="0" applyFont="1" applyFill="1"/>
    <xf numFmtId="2" fontId="60" fillId="2" borderId="0" xfId="0" applyNumberFormat="1" applyFont="1" applyFill="1" applyBorder="1"/>
    <xf numFmtId="0" fontId="38" fillId="5" borderId="0" xfId="0" applyFont="1" applyFill="1" applyBorder="1" applyAlignment="1"/>
    <xf numFmtId="0" fontId="38" fillId="2" borderId="0" xfId="0" applyFont="1" applyFill="1" applyBorder="1"/>
    <xf numFmtId="0" fontId="7" fillId="2" borderId="7" xfId="0" applyFont="1" applyFill="1" applyBorder="1" applyAlignment="1">
      <alignment horizontal="left" vertical="top" wrapText="1"/>
    </xf>
    <xf numFmtId="0" fontId="7" fillId="2" borderId="9" xfId="0" applyFont="1" applyFill="1" applyBorder="1" applyAlignment="1">
      <alignment horizontal="left" vertical="top" wrapText="1"/>
    </xf>
    <xf numFmtId="0" fontId="9" fillId="2" borderId="17" xfId="0" applyFont="1" applyFill="1" applyBorder="1" applyAlignment="1">
      <alignment vertical="top" wrapText="1"/>
    </xf>
    <xf numFmtId="0" fontId="16" fillId="5" borderId="0" xfId="0" applyFont="1" applyFill="1" applyBorder="1" applyAlignment="1">
      <alignment vertical="center" wrapText="1"/>
    </xf>
    <xf numFmtId="0" fontId="16" fillId="2" borderId="0" xfId="0" applyFont="1" applyFill="1" applyBorder="1" applyAlignment="1">
      <alignment horizontal="left" vertical="center" wrapText="1"/>
    </xf>
    <xf numFmtId="0" fontId="5" fillId="2" borderId="0" xfId="0" applyFont="1" applyFill="1" applyBorder="1"/>
    <xf numFmtId="0" fontId="5" fillId="5" borderId="18" xfId="0" applyFont="1" applyFill="1" applyBorder="1" applyAlignment="1"/>
    <xf numFmtId="0" fontId="16" fillId="5" borderId="18" xfId="0" applyFont="1" applyFill="1" applyBorder="1" applyAlignment="1"/>
    <xf numFmtId="0" fontId="5" fillId="5" borderId="19" xfId="0" applyFont="1" applyFill="1" applyBorder="1"/>
    <xf numFmtId="0" fontId="5" fillId="5" borderId="20" xfId="0" applyFont="1" applyFill="1" applyBorder="1"/>
    <xf numFmtId="0" fontId="16" fillId="12" borderId="0" xfId="0" applyFont="1" applyFill="1" applyBorder="1" applyAlignment="1">
      <alignment horizontal="center"/>
    </xf>
    <xf numFmtId="2" fontId="49" fillId="2" borderId="0" xfId="0" applyNumberFormat="1" applyFont="1" applyFill="1" applyBorder="1"/>
    <xf numFmtId="9" fontId="16" fillId="32" borderId="0" xfId="0" applyNumberFormat="1" applyFont="1" applyFill="1" applyBorder="1" applyAlignment="1">
      <alignment horizontal="center"/>
    </xf>
    <xf numFmtId="2" fontId="4" fillId="32" borderId="0" xfId="0" applyNumberFormat="1" applyFont="1" applyFill="1" applyBorder="1" applyAlignment="1">
      <alignment horizontal="center" vertical="center" wrapText="1"/>
    </xf>
    <xf numFmtId="0" fontId="0" fillId="2" borderId="0" xfId="0" applyFill="1" applyAlignment="1">
      <alignment horizontal="center"/>
    </xf>
    <xf numFmtId="9" fontId="0" fillId="14" borderId="0" xfId="1" applyFont="1" applyFill="1" applyBorder="1" applyAlignment="1">
      <alignment horizontal="center"/>
    </xf>
    <xf numFmtId="9" fontId="0" fillId="14" borderId="0" xfId="0" applyNumberFormat="1" applyFill="1" applyBorder="1" applyAlignment="1">
      <alignment horizontal="center"/>
    </xf>
    <xf numFmtId="9" fontId="0" fillId="14" borderId="20" xfId="0" applyNumberFormat="1" applyFill="1" applyBorder="1" applyAlignment="1">
      <alignment horizontal="center"/>
    </xf>
    <xf numFmtId="0" fontId="15" fillId="2" borderId="0" xfId="0" applyFont="1" applyFill="1" applyBorder="1" applyAlignment="1">
      <alignment vertical="center" wrapText="1"/>
    </xf>
    <xf numFmtId="0" fontId="3" fillId="2" borderId="0" xfId="0" applyFont="1" applyFill="1" applyBorder="1" applyAlignment="1">
      <alignment vertical="center" textRotation="255"/>
    </xf>
    <xf numFmtId="0" fontId="6" fillId="5" borderId="20" xfId="0" applyFont="1" applyFill="1" applyBorder="1" applyAlignment="1"/>
    <xf numFmtId="0" fontId="15" fillId="2" borderId="0"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6" fillId="16" borderId="16" xfId="0" applyFont="1" applyFill="1" applyBorder="1" applyAlignment="1">
      <alignment horizontal="center"/>
    </xf>
    <xf numFmtId="0" fontId="16" fillId="16" borderId="17" xfId="0" applyFont="1" applyFill="1" applyBorder="1" applyAlignment="1">
      <alignment horizontal="center"/>
    </xf>
    <xf numFmtId="0" fontId="4" fillId="14" borderId="18" xfId="0" applyFont="1" applyFill="1" applyBorder="1" applyAlignment="1">
      <alignment horizontal="center"/>
    </xf>
    <xf numFmtId="0" fontId="0" fillId="14" borderId="0" xfId="0" applyFill="1" applyBorder="1" applyAlignment="1">
      <alignment horizontal="center"/>
    </xf>
    <xf numFmtId="0" fontId="16" fillId="18" borderId="18" xfId="0" applyFont="1" applyFill="1" applyBorder="1" applyAlignment="1">
      <alignment horizontal="center"/>
    </xf>
    <xf numFmtId="0" fontId="16" fillId="18" borderId="0" xfId="0" applyFont="1" applyFill="1" applyBorder="1" applyAlignment="1">
      <alignment horizontal="center"/>
    </xf>
    <xf numFmtId="10" fontId="16" fillId="18" borderId="0" xfId="0" applyNumberFormat="1" applyFont="1" applyFill="1" applyBorder="1" applyAlignment="1">
      <alignment horizontal="center"/>
    </xf>
    <xf numFmtId="0" fontId="16" fillId="18" borderId="5" xfId="0" applyFont="1" applyFill="1" applyBorder="1" applyAlignment="1">
      <alignment horizontal="center"/>
    </xf>
    <xf numFmtId="0" fontId="16" fillId="12" borderId="18" xfId="0" applyFont="1" applyFill="1" applyBorder="1" applyAlignment="1">
      <alignment horizontal="center"/>
    </xf>
    <xf numFmtId="0" fontId="16" fillId="12" borderId="5" xfId="0" applyFont="1" applyFill="1" applyBorder="1" applyAlignment="1">
      <alignment horizontal="center"/>
    </xf>
    <xf numFmtId="0" fontId="0" fillId="14" borderId="18" xfId="0" applyFill="1" applyBorder="1" applyAlignment="1">
      <alignment horizontal="center"/>
    </xf>
    <xf numFmtId="0" fontId="16" fillId="32" borderId="18" xfId="0" applyFont="1" applyFill="1" applyBorder="1" applyAlignment="1">
      <alignment horizontal="center"/>
    </xf>
    <xf numFmtId="0" fontId="16" fillId="32" borderId="0" xfId="0" applyFont="1" applyFill="1" applyBorder="1" applyAlignment="1">
      <alignment horizontal="center"/>
    </xf>
    <xf numFmtId="0" fontId="16" fillId="17" borderId="18" xfId="0" applyFont="1" applyFill="1" applyBorder="1" applyAlignment="1">
      <alignment horizontal="center"/>
    </xf>
    <xf numFmtId="0" fontId="16" fillId="17" borderId="0" xfId="0" applyFont="1" applyFill="1" applyBorder="1" applyAlignment="1">
      <alignment horizontal="center"/>
    </xf>
    <xf numFmtId="0" fontId="16" fillId="17" borderId="5" xfId="0" applyFont="1" applyFill="1" applyBorder="1" applyAlignment="1">
      <alignment horizontal="center"/>
    </xf>
    <xf numFmtId="0" fontId="16" fillId="15" borderId="18" xfId="0" applyFont="1" applyFill="1" applyBorder="1" applyAlignment="1">
      <alignment horizontal="center"/>
    </xf>
    <xf numFmtId="0" fontId="16" fillId="15" borderId="0" xfId="0" applyFont="1" applyFill="1" applyBorder="1" applyAlignment="1">
      <alignment horizontal="center"/>
    </xf>
    <xf numFmtId="0" fontId="16" fillId="15" borderId="5" xfId="0" applyFont="1" applyFill="1" applyBorder="1" applyAlignment="1">
      <alignment horizontal="center"/>
    </xf>
    <xf numFmtId="0" fontId="0" fillId="14" borderId="19" xfId="0" applyFill="1" applyBorder="1" applyAlignment="1">
      <alignment horizontal="center"/>
    </xf>
    <xf numFmtId="0" fontId="0" fillId="14" borderId="20" xfId="0" applyFill="1" applyBorder="1" applyAlignment="1">
      <alignment horizontal="center"/>
    </xf>
    <xf numFmtId="9" fontId="4" fillId="2" borderId="0" xfId="0" applyNumberFormat="1" applyFont="1" applyFill="1" applyBorder="1" applyAlignment="1">
      <alignment horizontal="center"/>
    </xf>
    <xf numFmtId="0" fontId="4" fillId="14" borderId="0" xfId="0" applyFont="1" applyFill="1" applyBorder="1" applyAlignment="1">
      <alignment horizontal="left"/>
    </xf>
    <xf numFmtId="0" fontId="16" fillId="18" borderId="0" xfId="0" applyFont="1" applyFill="1" applyBorder="1" applyAlignment="1">
      <alignment horizontal="left"/>
    </xf>
    <xf numFmtId="0" fontId="16" fillId="12" borderId="0" xfId="0" applyFont="1" applyFill="1" applyBorder="1" applyAlignment="1">
      <alignment horizontal="left"/>
    </xf>
    <xf numFmtId="9" fontId="4" fillId="14" borderId="0" xfId="0" applyNumberFormat="1" applyFont="1" applyFill="1" applyBorder="1" applyAlignment="1">
      <alignment horizontal="left"/>
    </xf>
    <xf numFmtId="0" fontId="0" fillId="14" borderId="0" xfId="0" applyFill="1" applyBorder="1" applyAlignment="1">
      <alignment horizontal="left"/>
    </xf>
    <xf numFmtId="0" fontId="16" fillId="32" borderId="0" xfId="0" applyFont="1" applyFill="1" applyBorder="1" applyAlignment="1">
      <alignment horizontal="left"/>
    </xf>
    <xf numFmtId="0" fontId="16" fillId="17" borderId="0" xfId="0" applyFont="1" applyFill="1" applyBorder="1" applyAlignment="1">
      <alignment horizontal="left"/>
    </xf>
    <xf numFmtId="0" fontId="16" fillId="15" borderId="0" xfId="0" applyFont="1" applyFill="1" applyBorder="1" applyAlignment="1">
      <alignment horizontal="left"/>
    </xf>
    <xf numFmtId="0" fontId="4" fillId="14" borderId="20" xfId="0" applyFont="1" applyFill="1" applyBorder="1" applyAlignment="1">
      <alignment horizontal="left"/>
    </xf>
    <xf numFmtId="0" fontId="0" fillId="14" borderId="20" xfId="0" applyFill="1" applyBorder="1" applyAlignment="1">
      <alignment horizontal="left"/>
    </xf>
    <xf numFmtId="0" fontId="16" fillId="32" borderId="5" xfId="0" applyFont="1" applyFill="1" applyBorder="1" applyAlignment="1">
      <alignment horizontal="center"/>
    </xf>
    <xf numFmtId="0" fontId="16" fillId="12" borderId="0" xfId="3" applyFont="1" applyFill="1" applyBorder="1" applyAlignment="1" applyProtection="1">
      <alignment horizontal="right" vertical="center"/>
    </xf>
    <xf numFmtId="0" fontId="63" fillId="2" borderId="0" xfId="0" applyFont="1" applyFill="1" applyBorder="1" applyAlignment="1">
      <alignment horizontal="center"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2" fontId="51" fillId="5" borderId="18" xfId="0" applyNumberFormat="1" applyFont="1" applyFill="1" applyBorder="1" applyAlignment="1">
      <alignment horizontal="left"/>
    </xf>
    <xf numFmtId="0" fontId="9" fillId="4" borderId="0" xfId="0" applyFont="1" applyFill="1"/>
    <xf numFmtId="0" fontId="50" fillId="5" borderId="0" xfId="0" applyFont="1" applyFill="1" applyBorder="1" applyAlignment="1">
      <alignment wrapText="1"/>
    </xf>
    <xf numFmtId="0" fontId="4" fillId="5" borderId="0" xfId="0" applyFont="1" applyFill="1" applyBorder="1" applyAlignment="1">
      <alignment vertical="center" wrapText="1"/>
    </xf>
    <xf numFmtId="0" fontId="4" fillId="5" borderId="5" xfId="0" applyFont="1" applyFill="1" applyBorder="1" applyAlignment="1">
      <alignment vertical="center" wrapText="1"/>
    </xf>
    <xf numFmtId="2" fontId="51" fillId="5" borderId="0" xfId="0" applyNumberFormat="1" applyFont="1" applyFill="1" applyBorder="1" applyAlignment="1"/>
    <xf numFmtId="0" fontId="63"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vertical="center"/>
    </xf>
    <xf numFmtId="0" fontId="0" fillId="2" borderId="0" xfId="0" applyFont="1" applyFill="1" applyBorder="1" applyAlignment="1"/>
    <xf numFmtId="0" fontId="63" fillId="5" borderId="0" xfId="0" applyFont="1" applyFill="1" applyBorder="1" applyAlignment="1">
      <alignment vertical="center" wrapText="1"/>
    </xf>
    <xf numFmtId="0" fontId="65" fillId="5" borderId="0" xfId="0" applyFont="1" applyFill="1" applyBorder="1" applyAlignment="1">
      <alignment horizontal="center"/>
    </xf>
    <xf numFmtId="0" fontId="49" fillId="5" borderId="0" xfId="0" applyFont="1" applyFill="1" applyBorder="1" applyAlignment="1"/>
    <xf numFmtId="0" fontId="58" fillId="5" borderId="0" xfId="0" applyFont="1" applyFill="1" applyBorder="1" applyAlignment="1"/>
    <xf numFmtId="0" fontId="54" fillId="5" borderId="0" xfId="0" applyFont="1" applyFill="1" applyBorder="1" applyAlignment="1"/>
    <xf numFmtId="0" fontId="56" fillId="5" borderId="0" xfId="0" applyFont="1" applyFill="1" applyBorder="1" applyAlignment="1">
      <alignment horizontal="center"/>
    </xf>
    <xf numFmtId="0" fontId="0" fillId="5" borderId="0" xfId="0" applyFont="1" applyFill="1" applyBorder="1" applyAlignment="1"/>
    <xf numFmtId="0" fontId="63" fillId="5" borderId="5" xfId="0" applyFont="1" applyFill="1" applyBorder="1" applyAlignment="1">
      <alignment vertical="center" wrapText="1"/>
    </xf>
    <xf numFmtId="0" fontId="65" fillId="5" borderId="18" xfId="0" applyFont="1" applyFill="1" applyBorder="1" applyAlignment="1">
      <alignment horizontal="center"/>
    </xf>
    <xf numFmtId="0" fontId="6" fillId="5" borderId="18" xfId="0" applyFont="1" applyFill="1" applyBorder="1" applyAlignment="1"/>
    <xf numFmtId="0" fontId="18" fillId="5" borderId="18" xfId="0" applyFont="1" applyFill="1" applyBorder="1" applyAlignment="1">
      <alignment horizontal="left"/>
    </xf>
    <xf numFmtId="0" fontId="0" fillId="5" borderId="5" xfId="0" applyFont="1" applyFill="1" applyBorder="1" applyAlignment="1"/>
    <xf numFmtId="0" fontId="52" fillId="8" borderId="0" xfId="0" applyFont="1" applyFill="1" applyBorder="1" applyAlignment="1">
      <alignment wrapText="1"/>
    </xf>
    <xf numFmtId="0" fontId="18" fillId="5" borderId="0" xfId="0" applyFont="1" applyFill="1" applyBorder="1" applyAlignment="1">
      <alignment horizontal="center"/>
    </xf>
    <xf numFmtId="0" fontId="71" fillId="5" borderId="0" xfId="0" applyFont="1" applyFill="1" applyBorder="1" applyAlignment="1">
      <alignment horizontal="center"/>
    </xf>
    <xf numFmtId="0" fontId="4" fillId="2" borderId="0" xfId="0" applyFont="1" applyFill="1" applyBorder="1" applyAlignment="1">
      <alignment horizontal="center" vertical="center" wrapText="1"/>
    </xf>
    <xf numFmtId="0" fontId="0" fillId="2" borderId="0" xfId="0" applyFont="1" applyFill="1" applyBorder="1" applyAlignment="1">
      <alignment horizontal="center"/>
    </xf>
    <xf numFmtId="0" fontId="4" fillId="2" borderId="0" xfId="0" applyFont="1" applyFill="1" applyAlignment="1"/>
    <xf numFmtId="0" fontId="16" fillId="2" borderId="0" xfId="0" applyFont="1" applyFill="1" applyAlignment="1"/>
    <xf numFmtId="0" fontId="36" fillId="31" borderId="0" xfId="0" applyFont="1" applyFill="1" applyBorder="1" applyAlignment="1">
      <alignment horizontal="left"/>
    </xf>
    <xf numFmtId="0" fontId="30" fillId="31" borderId="0" xfId="0" applyFont="1" applyFill="1" applyBorder="1" applyAlignment="1">
      <alignment horizontal="left"/>
    </xf>
    <xf numFmtId="0" fontId="30" fillId="31" borderId="0" xfId="0" applyFont="1" applyFill="1" applyBorder="1" applyAlignment="1">
      <alignment horizontal="left" vertical="top"/>
    </xf>
    <xf numFmtId="0" fontId="20" fillId="4" borderId="23" xfId="0" applyFont="1" applyFill="1" applyBorder="1" applyAlignment="1">
      <alignment horizontal="right"/>
    </xf>
    <xf numFmtId="0" fontId="6" fillId="2" borderId="0" xfId="0" applyFont="1" applyFill="1" applyBorder="1" applyAlignment="1">
      <alignment horizontal="right"/>
    </xf>
    <xf numFmtId="0" fontId="0" fillId="2" borderId="0" xfId="0" applyFill="1" applyAlignment="1">
      <alignment horizontal="right"/>
    </xf>
    <xf numFmtId="0" fontId="6" fillId="2" borderId="0" xfId="0" applyFont="1" applyFill="1" applyAlignment="1">
      <alignment horizontal="right"/>
    </xf>
    <xf numFmtId="0" fontId="72" fillId="2" borderId="0" xfId="0" applyFont="1" applyFill="1" applyBorder="1" applyAlignment="1">
      <alignment horizontal="center" wrapText="1"/>
    </xf>
    <xf numFmtId="0" fontId="73" fillId="2" borderId="0" xfId="0" applyFont="1" applyFill="1" applyBorder="1" applyAlignment="1">
      <alignment wrapText="1"/>
    </xf>
    <xf numFmtId="0" fontId="73" fillId="2" borderId="0" xfId="0" applyFont="1" applyFill="1" applyBorder="1"/>
    <xf numFmtId="0" fontId="64"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5" borderId="53" xfId="0" applyFont="1" applyFill="1" applyBorder="1" applyAlignment="1"/>
    <xf numFmtId="0" fontId="64" fillId="2" borderId="0" xfId="0" applyFont="1" applyFill="1" applyBorder="1" applyAlignment="1">
      <alignment horizontal="center"/>
    </xf>
    <xf numFmtId="0" fontId="6" fillId="2" borderId="0" xfId="0" applyFont="1" applyFill="1" applyBorder="1" applyAlignment="1">
      <alignment horizontal="center" vertical="center" wrapText="1"/>
    </xf>
    <xf numFmtId="0" fontId="59" fillId="5" borderId="0" xfId="0" applyFont="1" applyFill="1" applyBorder="1"/>
    <xf numFmtId="0" fontId="18" fillId="8" borderId="0" xfId="0" applyFont="1" applyFill="1" applyBorder="1" applyAlignment="1"/>
    <xf numFmtId="0" fontId="63" fillId="2" borderId="0" xfId="0" applyFont="1" applyFill="1" applyBorder="1" applyAlignment="1"/>
    <xf numFmtId="0" fontId="16" fillId="2" borderId="0" xfId="0" applyFont="1" applyFill="1" applyBorder="1" applyAlignment="1">
      <alignment vertical="center" wrapText="1"/>
    </xf>
    <xf numFmtId="0" fontId="16" fillId="2" borderId="0" xfId="0" applyFont="1" applyFill="1" applyBorder="1" applyAlignment="1">
      <alignment vertical="center"/>
    </xf>
    <xf numFmtId="0" fontId="64" fillId="2" borderId="0" xfId="0" applyFont="1" applyFill="1" applyBorder="1" applyAlignment="1">
      <alignment vertical="center" wrapText="1"/>
    </xf>
    <xf numFmtId="0" fontId="16" fillId="2" borderId="0" xfId="3" applyFont="1" applyFill="1" applyBorder="1" applyAlignment="1" applyProtection="1">
      <alignment horizontal="right" vertical="center"/>
    </xf>
    <xf numFmtId="0" fontId="6" fillId="2" borderId="0" xfId="3" applyFont="1" applyFill="1" applyBorder="1" applyAlignment="1" applyProtection="1">
      <alignment horizontal="left" vertical="center"/>
    </xf>
    <xf numFmtId="0" fontId="17" fillId="2" borderId="0" xfId="0" applyFont="1" applyFill="1" applyBorder="1" applyAlignment="1">
      <alignment horizontal="center"/>
    </xf>
    <xf numFmtId="0" fontId="6" fillId="15" borderId="0" xfId="0" applyFont="1" applyFill="1" applyBorder="1"/>
    <xf numFmtId="0" fontId="4" fillId="5" borderId="0" xfId="0" applyFont="1" applyFill="1" applyBorder="1"/>
    <xf numFmtId="0" fontId="6" fillId="16" borderId="0" xfId="0" applyFont="1" applyFill="1" applyBorder="1"/>
    <xf numFmtId="0" fontId="6" fillId="16" borderId="0" xfId="0" applyFont="1" applyFill="1" applyBorder="1" applyAlignment="1"/>
    <xf numFmtId="0" fontId="19" fillId="5" borderId="0" xfId="0" applyFont="1" applyFill="1" applyBorder="1" applyAlignment="1">
      <alignment horizontal="left" vertical="center"/>
    </xf>
    <xf numFmtId="0" fontId="46" fillId="5" borderId="0" xfId="2" applyFont="1" applyFill="1" applyBorder="1" applyAlignment="1">
      <alignment wrapText="1"/>
    </xf>
    <xf numFmtId="0" fontId="3" fillId="4" borderId="25" xfId="0" applyFont="1" applyFill="1" applyBorder="1" applyAlignment="1"/>
    <xf numFmtId="0" fontId="3" fillId="4" borderId="0" xfId="0" applyFont="1" applyFill="1" applyBorder="1" applyAlignment="1">
      <alignment vertical="center"/>
    </xf>
    <xf numFmtId="0" fontId="3" fillId="4" borderId="21" xfId="0" applyFont="1" applyFill="1" applyBorder="1" applyAlignment="1"/>
    <xf numFmtId="0" fontId="3" fillId="4" borderId="55" xfId="0" applyFont="1" applyFill="1" applyBorder="1" applyAlignment="1"/>
    <xf numFmtId="0" fontId="3" fillId="4" borderId="54" xfId="0" applyFont="1" applyFill="1" applyBorder="1" applyAlignment="1">
      <alignment horizontal="left" vertical="center"/>
    </xf>
    <xf numFmtId="0" fontId="3" fillId="4" borderId="54" xfId="0" applyFont="1" applyFill="1" applyBorder="1" applyAlignment="1"/>
    <xf numFmtId="0" fontId="3" fillId="4" borderId="54" xfId="0" applyFont="1" applyFill="1" applyBorder="1" applyAlignment="1">
      <alignment horizontal="left"/>
    </xf>
    <xf numFmtId="0" fontId="3" fillId="4" borderId="57" xfId="0" applyFont="1" applyFill="1" applyBorder="1" applyAlignment="1"/>
    <xf numFmtId="0" fontId="6" fillId="2" borderId="56" xfId="0" applyFont="1" applyFill="1" applyBorder="1"/>
    <xf numFmtId="0" fontId="46" fillId="5" borderId="18" xfId="2" applyFont="1" applyFill="1" applyBorder="1" applyAlignment="1">
      <alignment wrapText="1"/>
    </xf>
    <xf numFmtId="0" fontId="46" fillId="5" borderId="5" xfId="2" applyFont="1" applyFill="1" applyBorder="1" applyAlignment="1">
      <alignment wrapText="1"/>
    </xf>
    <xf numFmtId="0" fontId="6" fillId="9" borderId="19" xfId="0" applyFont="1" applyFill="1" applyBorder="1"/>
    <xf numFmtId="0" fontId="3" fillId="4" borderId="0" xfId="0" applyFont="1" applyFill="1" applyAlignment="1">
      <alignment vertical="center" wrapText="1"/>
    </xf>
    <xf numFmtId="0" fontId="3" fillId="4" borderId="54" xfId="0" applyFont="1" applyFill="1" applyBorder="1"/>
    <xf numFmtId="0" fontId="3" fillId="4" borderId="57" xfId="0" applyFont="1" applyFill="1" applyBorder="1"/>
    <xf numFmtId="0" fontId="29" fillId="2" borderId="0" xfId="0" applyFont="1" applyFill="1"/>
    <xf numFmtId="0" fontId="0" fillId="5" borderId="0" xfId="0" applyFont="1" applyFill="1" applyBorder="1"/>
    <xf numFmtId="0" fontId="0" fillId="5" borderId="20" xfId="0" applyFont="1" applyFill="1" applyBorder="1"/>
    <xf numFmtId="0" fontId="0" fillId="2" borderId="0" xfId="0" applyFont="1" applyFill="1"/>
    <xf numFmtId="0" fontId="74" fillId="5" borderId="18" xfId="0" applyFont="1" applyFill="1" applyBorder="1" applyAlignment="1"/>
    <xf numFmtId="0" fontId="64" fillId="5" borderId="0" xfId="0" applyFont="1" applyFill="1" applyBorder="1"/>
    <xf numFmtId="0" fontId="63" fillId="5" borderId="0" xfId="0" applyFont="1" applyFill="1" applyBorder="1" applyAlignment="1">
      <alignment horizontal="left"/>
    </xf>
    <xf numFmtId="0" fontId="63" fillId="5" borderId="0" xfId="0" applyFont="1" applyFill="1" applyBorder="1" applyAlignment="1">
      <alignment horizontal="left" wrapText="1"/>
    </xf>
    <xf numFmtId="0" fontId="3" fillId="5" borderId="0" xfId="0" applyFont="1" applyFill="1" applyBorder="1" applyAlignment="1">
      <alignment horizontal="left" wrapText="1"/>
    </xf>
    <xf numFmtId="0" fontId="19" fillId="5" borderId="0" xfId="0" applyFont="1" applyFill="1" applyBorder="1" applyAlignment="1"/>
    <xf numFmtId="0" fontId="0" fillId="5" borderId="0" xfId="0" applyFill="1" applyBorder="1" applyAlignment="1"/>
    <xf numFmtId="0" fontId="0" fillId="5" borderId="5" xfId="0" applyFill="1" applyBorder="1" applyAlignment="1"/>
    <xf numFmtId="0" fontId="16" fillId="9" borderId="20" xfId="0" applyFont="1" applyFill="1" applyBorder="1" applyAlignment="1"/>
    <xf numFmtId="0" fontId="16" fillId="9" borderId="4" xfId="0" applyFont="1" applyFill="1" applyBorder="1"/>
    <xf numFmtId="0" fontId="13" fillId="5" borderId="18" xfId="0" applyFont="1" applyFill="1" applyBorder="1"/>
    <xf numFmtId="0" fontId="16" fillId="9" borderId="58" xfId="0" applyFont="1" applyFill="1" applyBorder="1" applyAlignment="1"/>
    <xf numFmtId="0" fontId="6" fillId="2" borderId="0" xfId="0" applyFont="1" applyFill="1" applyBorder="1" applyAlignment="1">
      <alignment horizontal="left" vertical="top"/>
    </xf>
    <xf numFmtId="2" fontId="59" fillId="2" borderId="0" xfId="0" applyNumberFormat="1" applyFont="1" applyFill="1" applyBorder="1"/>
    <xf numFmtId="0" fontId="59" fillId="2" borderId="0" xfId="0" applyFont="1" applyFill="1" applyBorder="1"/>
    <xf numFmtId="0" fontId="57" fillId="2" borderId="0" xfId="0" applyFont="1" applyFill="1" applyBorder="1"/>
    <xf numFmtId="2" fontId="57" fillId="2" borderId="0" xfId="0" applyNumberFormat="1" applyFont="1" applyFill="1" applyBorder="1"/>
    <xf numFmtId="0" fontId="21" fillId="4" borderId="47" xfId="0" applyFont="1" applyFill="1" applyBorder="1" applyAlignment="1"/>
    <xf numFmtId="0" fontId="55" fillId="2" borderId="0" xfId="0" applyFont="1" applyFill="1" applyBorder="1"/>
    <xf numFmtId="2" fontId="55" fillId="2" borderId="0" xfId="0" applyNumberFormat="1" applyFont="1" applyFill="1" applyBorder="1"/>
    <xf numFmtId="0" fontId="9" fillId="5" borderId="0" xfId="0" applyFont="1" applyFill="1" applyBorder="1"/>
    <xf numFmtId="0" fontId="26" fillId="5" borderId="18" xfId="0" applyFont="1" applyFill="1" applyBorder="1" applyAlignment="1"/>
    <xf numFmtId="0" fontId="74" fillId="5" borderId="19" xfId="0" applyFont="1" applyFill="1" applyBorder="1" applyAlignment="1"/>
    <xf numFmtId="9" fontId="15" fillId="5" borderId="0" xfId="1" applyFont="1" applyFill="1" applyBorder="1" applyAlignment="1">
      <alignment horizontal="left"/>
    </xf>
    <xf numFmtId="0" fontId="15" fillId="5" borderId="0" xfId="0" applyFont="1" applyFill="1" applyBorder="1" applyAlignment="1">
      <alignment horizontal="left"/>
    </xf>
    <xf numFmtId="0" fontId="40" fillId="5" borderId="0" xfId="0" applyFont="1" applyFill="1" applyBorder="1"/>
    <xf numFmtId="0" fontId="40" fillId="2" borderId="0" xfId="0" applyFont="1" applyFill="1"/>
    <xf numFmtId="0" fontId="6" fillId="2" borderId="0" xfId="0" applyFont="1" applyFill="1" applyBorder="1" applyAlignment="1">
      <alignment horizontal="center"/>
    </xf>
    <xf numFmtId="0" fontId="9" fillId="2" borderId="0" xfId="0" applyFont="1" applyFill="1" applyBorder="1"/>
    <xf numFmtId="0" fontId="3" fillId="2" borderId="0" xfId="0" applyFont="1" applyFill="1" applyAlignment="1">
      <alignment vertical="center" wrapText="1"/>
    </xf>
    <xf numFmtId="0" fontId="9" fillId="2" borderId="0" xfId="0" applyFont="1" applyFill="1" applyAlignment="1">
      <alignment horizontal="center"/>
    </xf>
    <xf numFmtId="0" fontId="78" fillId="10" borderId="0" xfId="0" applyFont="1" applyFill="1" applyBorder="1" applyAlignment="1"/>
    <xf numFmtId="0" fontId="14" fillId="5" borderId="0" xfId="0" applyFont="1" applyFill="1" applyBorder="1" applyAlignment="1">
      <alignment horizontal="center"/>
    </xf>
    <xf numFmtId="0" fontId="63" fillId="5" borderId="0" xfId="0" applyFont="1" applyFill="1" applyBorder="1" applyAlignment="1">
      <alignment horizontal="left" vertical="top" wrapText="1"/>
    </xf>
    <xf numFmtId="0" fontId="77" fillId="5" borderId="0" xfId="0" applyFont="1" applyFill="1" applyBorder="1" applyAlignment="1">
      <alignment horizontal="center" vertical="center" wrapText="1"/>
    </xf>
    <xf numFmtId="0" fontId="19" fillId="5" borderId="0" xfId="0" applyFont="1" applyFill="1" applyBorder="1" applyAlignment="1">
      <alignment horizontal="center"/>
    </xf>
    <xf numFmtId="0" fontId="79" fillId="10" borderId="16" xfId="0" applyFont="1" applyFill="1" applyBorder="1" applyAlignment="1"/>
    <xf numFmtId="0" fontId="0" fillId="5" borderId="0" xfId="0" applyFont="1" applyFill="1" applyBorder="1" applyAlignment="1">
      <alignment horizontal="left"/>
    </xf>
    <xf numFmtId="0" fontId="0" fillId="5" borderId="20" xfId="0" applyFont="1" applyFill="1" applyBorder="1" applyAlignment="1"/>
    <xf numFmtId="0" fontId="0" fillId="4" borderId="61" xfId="0" applyFont="1" applyFill="1" applyBorder="1"/>
    <xf numFmtId="2" fontId="0" fillId="4" borderId="0" xfId="0" applyNumberFormat="1" applyFont="1" applyFill="1"/>
    <xf numFmtId="0" fontId="0" fillId="4" borderId="0" xfId="0" applyFont="1" applyFill="1" applyAlignment="1"/>
    <xf numFmtId="0" fontId="0" fillId="4" borderId="0" xfId="0" applyFont="1" applyFill="1" applyAlignment="1">
      <alignment horizontal="left"/>
    </xf>
    <xf numFmtId="0" fontId="0" fillId="4" borderId="0" xfId="0" applyFont="1" applyFill="1" applyAlignment="1">
      <alignment wrapText="1"/>
    </xf>
    <xf numFmtId="0" fontId="0" fillId="4" borderId="0" xfId="0" applyFont="1" applyFill="1" applyAlignment="1">
      <alignment horizontal="center"/>
    </xf>
    <xf numFmtId="0" fontId="0" fillId="2" borderId="0" xfId="0" applyFont="1" applyFill="1" applyAlignment="1"/>
    <xf numFmtId="0" fontId="0" fillId="2" borderId="0" xfId="0" applyFont="1" applyFill="1" applyAlignment="1">
      <alignment horizontal="left"/>
    </xf>
    <xf numFmtId="0" fontId="0" fillId="2" borderId="0" xfId="0" applyFont="1" applyFill="1" applyAlignment="1">
      <alignment wrapText="1"/>
    </xf>
    <xf numFmtId="0" fontId="0" fillId="2" borderId="0" xfId="0" applyFont="1" applyFill="1" applyAlignment="1">
      <alignment horizontal="center"/>
    </xf>
    <xf numFmtId="9" fontId="15" fillId="5" borderId="0" xfId="1" applyNumberFormat="1" applyFont="1" applyFill="1" applyBorder="1" applyAlignment="1">
      <alignment horizontal="left"/>
    </xf>
    <xf numFmtId="0" fontId="19" fillId="4" borderId="38" xfId="0" applyFont="1" applyFill="1" applyBorder="1" applyAlignment="1">
      <alignment horizontal="center" vertical="center"/>
    </xf>
    <xf numFmtId="0" fontId="35" fillId="4" borderId="0" xfId="0" applyFont="1" applyFill="1" applyBorder="1" applyAlignment="1">
      <alignment vertical="center"/>
    </xf>
    <xf numFmtId="9" fontId="17" fillId="9" borderId="0" xfId="0" applyNumberFormat="1" applyFont="1" applyFill="1" applyBorder="1" applyAlignment="1">
      <alignment vertical="center" wrapText="1"/>
    </xf>
    <xf numFmtId="9" fontId="17" fillId="10" borderId="0" xfId="0" applyNumberFormat="1" applyFont="1" applyFill="1" applyBorder="1" applyAlignment="1">
      <alignment vertical="center" wrapText="1"/>
    </xf>
    <xf numFmtId="2" fontId="17" fillId="10" borderId="0" xfId="0" applyNumberFormat="1" applyFont="1" applyFill="1" applyBorder="1" applyAlignment="1">
      <alignment vertical="center" wrapText="1"/>
    </xf>
    <xf numFmtId="9" fontId="17" fillId="18" borderId="0" xfId="0" applyNumberFormat="1" applyFont="1" applyFill="1" applyBorder="1" applyAlignment="1">
      <alignment vertical="center" wrapText="1"/>
    </xf>
    <xf numFmtId="9" fontId="17" fillId="12" borderId="0" xfId="0" applyNumberFormat="1" applyFont="1" applyFill="1" applyBorder="1" applyAlignment="1">
      <alignment vertical="center" wrapText="1"/>
    </xf>
    <xf numFmtId="2" fontId="17" fillId="12" borderId="0" xfId="0" applyNumberFormat="1" applyFont="1" applyFill="1" applyBorder="1" applyAlignment="1">
      <alignment vertical="center" wrapText="1"/>
    </xf>
    <xf numFmtId="9" fontId="17" fillId="33" borderId="0" xfId="0" applyNumberFormat="1" applyFont="1" applyFill="1" applyBorder="1" applyAlignment="1">
      <alignment vertical="center" wrapText="1"/>
    </xf>
    <xf numFmtId="2" fontId="17" fillId="33" borderId="0" xfId="0" applyNumberFormat="1" applyFont="1" applyFill="1" applyBorder="1" applyAlignment="1">
      <alignment vertical="center" wrapText="1"/>
    </xf>
    <xf numFmtId="9" fontId="17" fillId="22" borderId="0" xfId="0" applyNumberFormat="1" applyFont="1" applyFill="1" applyBorder="1" applyAlignment="1">
      <alignment vertical="center" wrapText="1"/>
    </xf>
    <xf numFmtId="2" fontId="17" fillId="22" borderId="0" xfId="0" applyNumberFormat="1" applyFont="1" applyFill="1" applyBorder="1" applyAlignment="1">
      <alignment vertical="center" wrapText="1"/>
    </xf>
    <xf numFmtId="9" fontId="17" fillId="15" borderId="0" xfId="0" applyNumberFormat="1" applyFont="1" applyFill="1" applyBorder="1" applyAlignment="1">
      <alignment vertical="center" wrapText="1"/>
    </xf>
    <xf numFmtId="2" fontId="17" fillId="15" borderId="0" xfId="0" applyNumberFormat="1" applyFont="1" applyFill="1" applyBorder="1" applyAlignment="1">
      <alignment vertical="center" wrapText="1"/>
    </xf>
    <xf numFmtId="0" fontId="34" fillId="5" borderId="0" xfId="0" applyFont="1" applyFill="1" applyBorder="1"/>
    <xf numFmtId="9" fontId="34" fillId="9" borderId="0" xfId="0" applyNumberFormat="1" applyFont="1" applyFill="1" applyBorder="1" applyAlignment="1">
      <alignment vertical="center" wrapText="1"/>
    </xf>
    <xf numFmtId="2" fontId="17" fillId="9" borderId="0" xfId="0" applyNumberFormat="1" applyFont="1" applyFill="1" applyBorder="1" applyAlignment="1">
      <alignment vertical="center" wrapText="1"/>
    </xf>
    <xf numFmtId="0" fontId="17" fillId="9" borderId="0" xfId="0" applyFont="1" applyFill="1" applyBorder="1" applyAlignment="1">
      <alignment vertical="center" wrapText="1"/>
    </xf>
    <xf numFmtId="0" fontId="80" fillId="5" borderId="0" xfId="0" applyFont="1" applyFill="1" applyBorder="1" applyAlignment="1"/>
    <xf numFmtId="0" fontId="35" fillId="5" borderId="0" xfId="0" applyFont="1" applyFill="1" applyBorder="1"/>
    <xf numFmtId="0" fontId="27" fillId="5" borderId="0" xfId="0" applyFont="1" applyFill="1" applyBorder="1" applyAlignment="1">
      <alignment horizontal="left"/>
    </xf>
    <xf numFmtId="9" fontId="68" fillId="5" borderId="0" xfId="1" applyFont="1" applyFill="1" applyBorder="1" applyAlignment="1">
      <alignment horizontal="left"/>
    </xf>
    <xf numFmtId="9" fontId="68" fillId="5" borderId="0" xfId="0" applyNumberFormat="1" applyFont="1" applyFill="1" applyBorder="1" applyAlignment="1">
      <alignment horizontal="left"/>
    </xf>
    <xf numFmtId="0" fontId="27" fillId="5" borderId="0" xfId="0" applyFont="1" applyFill="1" applyBorder="1" applyAlignment="1"/>
    <xf numFmtId="0" fontId="81" fillId="10" borderId="16" xfId="0" applyFont="1" applyFill="1" applyBorder="1" applyAlignment="1"/>
    <xf numFmtId="0" fontId="82" fillId="10" borderId="18" xfId="0" applyFont="1" applyFill="1" applyBorder="1" applyAlignment="1"/>
    <xf numFmtId="0" fontId="82" fillId="10" borderId="0" xfId="0" applyFont="1" applyFill="1" applyBorder="1" applyAlignment="1"/>
    <xf numFmtId="1" fontId="82" fillId="10" borderId="0" xfId="0" applyNumberFormat="1" applyFont="1" applyFill="1" applyBorder="1" applyAlignment="1"/>
    <xf numFmtId="0" fontId="26" fillId="5" borderId="0" xfId="0" applyFont="1" applyFill="1" applyBorder="1"/>
    <xf numFmtId="0" fontId="27" fillId="5" borderId="18" xfId="0" applyFont="1" applyFill="1" applyBorder="1"/>
    <xf numFmtId="0" fontId="27" fillId="5" borderId="0" xfId="0" applyFont="1" applyFill="1" applyBorder="1"/>
    <xf numFmtId="0" fontId="27" fillId="5" borderId="19" xfId="0" applyFont="1" applyFill="1" applyBorder="1"/>
    <xf numFmtId="0" fontId="27" fillId="5" borderId="20" xfId="0" applyFont="1" applyFill="1" applyBorder="1"/>
    <xf numFmtId="0" fontId="27" fillId="2" borderId="0" xfId="0" applyFont="1" applyFill="1"/>
    <xf numFmtId="0" fontId="26" fillId="5" borderId="0" xfId="0" applyFont="1" applyFill="1" applyBorder="1" applyAlignment="1">
      <alignment horizontal="right"/>
    </xf>
    <xf numFmtId="0" fontId="26" fillId="10" borderId="16" xfId="0" applyFont="1" applyFill="1" applyBorder="1" applyAlignment="1"/>
    <xf numFmtId="0" fontId="34" fillId="10" borderId="16" xfId="0" applyFont="1" applyFill="1" applyBorder="1"/>
    <xf numFmtId="0" fontId="34" fillId="10" borderId="17" xfId="0" applyFont="1" applyFill="1" applyBorder="1"/>
    <xf numFmtId="0" fontId="83" fillId="10" borderId="30" xfId="0" applyFont="1" applyFill="1" applyBorder="1" applyAlignment="1"/>
    <xf numFmtId="0" fontId="81" fillId="10" borderId="0" xfId="0" applyFont="1" applyFill="1" applyBorder="1" applyAlignment="1"/>
    <xf numFmtId="0" fontId="26" fillId="10" borderId="0" xfId="0" applyFont="1" applyFill="1" applyBorder="1" applyAlignment="1"/>
    <xf numFmtId="9" fontId="81" fillId="10" borderId="0" xfId="0" applyNumberFormat="1" applyFont="1" applyFill="1" applyBorder="1" applyAlignment="1"/>
    <xf numFmtId="0" fontId="34" fillId="10" borderId="0" xfId="0" applyFont="1" applyFill="1" applyBorder="1"/>
    <xf numFmtId="0" fontId="34" fillId="10" borderId="5" xfId="0" applyFont="1" applyFill="1" applyBorder="1"/>
    <xf numFmtId="0" fontId="15" fillId="5" borderId="20" xfId="0" applyFont="1" applyFill="1" applyBorder="1"/>
    <xf numFmtId="0" fontId="15" fillId="2" borderId="0" xfId="0" applyFont="1" applyFill="1"/>
    <xf numFmtId="0" fontId="15" fillId="5" borderId="20" xfId="0" applyFont="1" applyFill="1" applyBorder="1" applyAlignment="1">
      <alignment horizontal="left"/>
    </xf>
    <xf numFmtId="0" fontId="26" fillId="2" borderId="0" xfId="0" applyFont="1" applyFill="1"/>
    <xf numFmtId="0" fontId="18" fillId="23" borderId="15" xfId="0" applyFont="1" applyFill="1" applyBorder="1" applyAlignment="1">
      <alignment vertical="center"/>
    </xf>
    <xf numFmtId="0" fontId="18" fillId="23" borderId="16" xfId="0" applyFont="1" applyFill="1" applyBorder="1" applyAlignment="1">
      <alignment horizontal="right" vertical="center"/>
    </xf>
    <xf numFmtId="0" fontId="52" fillId="10" borderId="16" xfId="0" applyFont="1" applyFill="1" applyBorder="1" applyAlignment="1">
      <alignment horizontal="right" vertical="center"/>
    </xf>
    <xf numFmtId="9" fontId="52" fillId="10" borderId="16" xfId="0" applyNumberFormat="1" applyFont="1" applyFill="1" applyBorder="1" applyAlignment="1">
      <alignment horizontal="left" vertical="center"/>
    </xf>
    <xf numFmtId="0" fontId="52" fillId="10" borderId="60" xfId="0" applyFont="1" applyFill="1" applyBorder="1" applyAlignment="1">
      <alignment vertical="center"/>
    </xf>
    <xf numFmtId="0" fontId="18" fillId="10" borderId="60" xfId="0" applyFont="1" applyFill="1" applyBorder="1" applyAlignment="1">
      <alignment vertical="center"/>
    </xf>
    <xf numFmtId="0" fontId="18" fillId="23" borderId="16" xfId="0" applyFont="1" applyFill="1" applyBorder="1" applyAlignment="1">
      <alignment vertical="center"/>
    </xf>
    <xf numFmtId="9" fontId="18" fillId="23" borderId="16" xfId="0" applyNumberFormat="1" applyFont="1" applyFill="1" applyBorder="1" applyAlignment="1">
      <alignment vertical="center"/>
    </xf>
    <xf numFmtId="0" fontId="84" fillId="23" borderId="16" xfId="0" applyFont="1" applyFill="1" applyBorder="1" applyAlignment="1">
      <alignment vertical="center"/>
    </xf>
    <xf numFmtId="0" fontId="18" fillId="23" borderId="60" xfId="0" applyFont="1" applyFill="1" applyBorder="1" applyAlignment="1">
      <alignment vertical="center"/>
    </xf>
    <xf numFmtId="0" fontId="81" fillId="23" borderId="16" xfId="0" applyFont="1" applyFill="1" applyBorder="1" applyAlignment="1">
      <alignment vertical="center"/>
    </xf>
    <xf numFmtId="9" fontId="81" fillId="23" borderId="16" xfId="0" applyNumberFormat="1" applyFont="1" applyFill="1" applyBorder="1" applyAlignment="1">
      <alignment vertical="center"/>
    </xf>
    <xf numFmtId="9" fontId="81" fillId="23" borderId="17" xfId="0" applyNumberFormat="1" applyFont="1" applyFill="1" applyBorder="1" applyAlignment="1">
      <alignment vertical="center"/>
    </xf>
    <xf numFmtId="0" fontId="79" fillId="35" borderId="16" xfId="0" applyFont="1" applyFill="1" applyBorder="1" applyAlignment="1"/>
    <xf numFmtId="0" fontId="85" fillId="35" borderId="16" xfId="0" applyFont="1" applyFill="1" applyBorder="1" applyAlignment="1"/>
    <xf numFmtId="9" fontId="79" fillId="35" borderId="16" xfId="0" applyNumberFormat="1" applyFont="1" applyFill="1" applyBorder="1" applyAlignment="1"/>
    <xf numFmtId="9" fontId="79" fillId="35" borderId="17" xfId="0" applyNumberFormat="1" applyFont="1" applyFill="1" applyBorder="1" applyAlignment="1"/>
    <xf numFmtId="0" fontId="52" fillId="35" borderId="16" xfId="0" applyFont="1" applyFill="1" applyBorder="1" applyAlignment="1">
      <alignment horizontal="right" vertical="center"/>
    </xf>
    <xf numFmtId="0" fontId="52" fillId="35" borderId="60" xfId="0" applyFont="1" applyFill="1" applyBorder="1" applyAlignment="1">
      <alignment vertical="center"/>
    </xf>
    <xf numFmtId="9" fontId="52" fillId="35" borderId="60" xfId="0" applyNumberFormat="1" applyFont="1" applyFill="1" applyBorder="1" applyAlignment="1">
      <alignment vertical="center"/>
    </xf>
    <xf numFmtId="0" fontId="79" fillId="28" borderId="16" xfId="0" applyFont="1" applyFill="1" applyBorder="1" applyAlignment="1">
      <alignment vertical="center"/>
    </xf>
    <xf numFmtId="0" fontId="85" fillId="28" borderId="16" xfId="0" applyFont="1" applyFill="1" applyBorder="1" applyAlignment="1">
      <alignment vertical="center"/>
    </xf>
    <xf numFmtId="0" fontId="52" fillId="28" borderId="60" xfId="0" applyFont="1" applyFill="1" applyBorder="1" applyAlignment="1">
      <alignment vertical="center"/>
    </xf>
    <xf numFmtId="0" fontId="79" fillId="28" borderId="46" xfId="0" applyFont="1" applyFill="1" applyBorder="1" applyAlignment="1">
      <alignment vertical="center"/>
    </xf>
    <xf numFmtId="9" fontId="52" fillId="28" borderId="60" xfId="0" applyNumberFormat="1" applyFont="1" applyFill="1" applyBorder="1" applyAlignment="1">
      <alignment vertical="center"/>
    </xf>
    <xf numFmtId="9" fontId="79" fillId="28" borderId="16" xfId="0" applyNumberFormat="1" applyFont="1" applyFill="1" applyBorder="1" applyAlignment="1">
      <alignment vertical="center"/>
    </xf>
    <xf numFmtId="9" fontId="79" fillId="28" borderId="17" xfId="0" applyNumberFormat="1" applyFont="1" applyFill="1" applyBorder="1" applyAlignment="1">
      <alignment vertical="center"/>
    </xf>
    <xf numFmtId="0" fontId="52" fillId="28" borderId="16" xfId="0" applyFont="1" applyFill="1" applyBorder="1" applyAlignment="1">
      <alignment horizontal="right" vertical="center"/>
    </xf>
    <xf numFmtId="9" fontId="18" fillId="23" borderId="16" xfId="0" applyNumberFormat="1" applyFont="1" applyFill="1" applyBorder="1" applyAlignment="1">
      <alignment horizontal="left" vertical="center"/>
    </xf>
    <xf numFmtId="9" fontId="52" fillId="35" borderId="16" xfId="0" applyNumberFormat="1" applyFont="1" applyFill="1" applyBorder="1" applyAlignment="1">
      <alignment horizontal="left" vertical="center"/>
    </xf>
    <xf numFmtId="0" fontId="79" fillId="33" borderId="16" xfId="0" applyFont="1" applyFill="1" applyBorder="1" applyAlignment="1">
      <alignment vertical="center"/>
    </xf>
    <xf numFmtId="0" fontId="85" fillId="33" borderId="16" xfId="0" applyFont="1" applyFill="1" applyBorder="1" applyAlignment="1">
      <alignment vertical="center"/>
    </xf>
    <xf numFmtId="0" fontId="52" fillId="33" borderId="60" xfId="0" applyFont="1" applyFill="1" applyBorder="1" applyAlignment="1">
      <alignment vertical="center"/>
    </xf>
    <xf numFmtId="0" fontId="79" fillId="33" borderId="46" xfId="0" applyFont="1" applyFill="1" applyBorder="1" applyAlignment="1">
      <alignment vertical="center"/>
    </xf>
    <xf numFmtId="9" fontId="52" fillId="33" borderId="60" xfId="0" applyNumberFormat="1" applyFont="1" applyFill="1" applyBorder="1" applyAlignment="1">
      <alignment vertical="center"/>
    </xf>
    <xf numFmtId="9" fontId="79" fillId="33" borderId="16" xfId="0" applyNumberFormat="1" applyFont="1" applyFill="1" applyBorder="1" applyAlignment="1">
      <alignment vertical="center"/>
    </xf>
    <xf numFmtId="9" fontId="79" fillId="33" borderId="17" xfId="0" applyNumberFormat="1" applyFont="1" applyFill="1" applyBorder="1" applyAlignment="1">
      <alignment vertical="center"/>
    </xf>
    <xf numFmtId="0" fontId="52" fillId="33" borderId="16" xfId="0" applyFont="1" applyFill="1" applyBorder="1" applyAlignment="1">
      <alignment horizontal="right" vertical="center"/>
    </xf>
    <xf numFmtId="9" fontId="52" fillId="33" borderId="16" xfId="0" applyNumberFormat="1" applyFont="1" applyFill="1" applyBorder="1" applyAlignment="1">
      <alignment horizontal="left" vertical="center"/>
    </xf>
    <xf numFmtId="0" fontId="79" fillId="22" borderId="16" xfId="0" applyFont="1" applyFill="1" applyBorder="1" applyAlignment="1">
      <alignment vertical="center"/>
    </xf>
    <xf numFmtId="0" fontId="85" fillId="22" borderId="16" xfId="0" applyFont="1" applyFill="1" applyBorder="1" applyAlignment="1">
      <alignment vertical="center"/>
    </xf>
    <xf numFmtId="0" fontId="52" fillId="22" borderId="60" xfId="0" applyFont="1" applyFill="1" applyBorder="1" applyAlignment="1">
      <alignment vertical="center"/>
    </xf>
    <xf numFmtId="0" fontId="79" fillId="22" borderId="46" xfId="0" applyFont="1" applyFill="1" applyBorder="1" applyAlignment="1">
      <alignment vertical="center"/>
    </xf>
    <xf numFmtId="9" fontId="52" fillId="22" borderId="60" xfId="0" applyNumberFormat="1" applyFont="1" applyFill="1" applyBorder="1" applyAlignment="1">
      <alignment vertical="center"/>
    </xf>
    <xf numFmtId="9" fontId="79" fillId="22" borderId="16" xfId="0" applyNumberFormat="1" applyFont="1" applyFill="1" applyBorder="1" applyAlignment="1">
      <alignment vertical="center"/>
    </xf>
    <xf numFmtId="9" fontId="79" fillId="22" borderId="17" xfId="0" applyNumberFormat="1" applyFont="1" applyFill="1" applyBorder="1" applyAlignment="1">
      <alignment vertical="center"/>
    </xf>
    <xf numFmtId="0" fontId="52" fillId="22" borderId="16" xfId="0" applyFont="1" applyFill="1" applyBorder="1" applyAlignment="1">
      <alignment horizontal="right" vertical="center"/>
    </xf>
    <xf numFmtId="0" fontId="0" fillId="5" borderId="0" xfId="0" applyFont="1" applyFill="1" applyBorder="1" applyAlignment="1">
      <alignment horizontal="right"/>
    </xf>
    <xf numFmtId="9" fontId="52" fillId="22" borderId="16" xfId="0" applyNumberFormat="1" applyFont="1" applyFill="1" applyBorder="1" applyAlignment="1">
      <alignment horizontal="left" vertical="center"/>
    </xf>
    <xf numFmtId="9" fontId="52" fillId="28" borderId="16" xfId="0" applyNumberFormat="1" applyFont="1" applyFill="1" applyBorder="1" applyAlignment="1">
      <alignment horizontal="left" vertical="center"/>
    </xf>
    <xf numFmtId="0" fontId="34" fillId="12" borderId="0" xfId="0" applyFont="1" applyFill="1" applyBorder="1"/>
    <xf numFmtId="0" fontId="9" fillId="12" borderId="0" xfId="0" applyFont="1" applyFill="1" applyBorder="1"/>
    <xf numFmtId="2" fontId="17" fillId="18" borderId="0" xfId="0" applyNumberFormat="1" applyFont="1" applyFill="1" applyBorder="1" applyAlignment="1">
      <alignment vertical="center" wrapText="1"/>
    </xf>
    <xf numFmtId="0" fontId="9" fillId="4" borderId="0" xfId="0" applyFont="1" applyFill="1" applyBorder="1"/>
    <xf numFmtId="0" fontId="14" fillId="5" borderId="0" xfId="0" applyFont="1" applyFill="1" applyBorder="1" applyAlignment="1"/>
    <xf numFmtId="0" fontId="0" fillId="5" borderId="18" xfId="0" applyFont="1" applyFill="1" applyBorder="1" applyAlignment="1"/>
    <xf numFmtId="0" fontId="63" fillId="4" borderId="15" xfId="0" applyFont="1" applyFill="1" applyBorder="1" applyAlignment="1">
      <alignment vertical="center" wrapText="1"/>
    </xf>
    <xf numFmtId="0" fontId="63" fillId="4" borderId="16" xfId="0" applyFont="1" applyFill="1" applyBorder="1" applyAlignment="1">
      <alignment vertical="center" wrapText="1"/>
    </xf>
    <xf numFmtId="0" fontId="63" fillId="4" borderId="17" xfId="0" applyFont="1" applyFill="1" applyBorder="1" applyAlignment="1">
      <alignment vertical="center" wrapText="1"/>
    </xf>
    <xf numFmtId="0" fontId="0" fillId="9" borderId="19" xfId="0" applyFont="1" applyFill="1" applyBorder="1" applyAlignment="1"/>
    <xf numFmtId="0" fontId="0" fillId="9" borderId="20" xfId="0" applyFont="1" applyFill="1" applyBorder="1" applyAlignment="1"/>
    <xf numFmtId="0" fontId="0" fillId="9" borderId="4" xfId="0" applyFont="1" applyFill="1" applyBorder="1" applyAlignment="1"/>
    <xf numFmtId="9" fontId="68" fillId="5" borderId="5" xfId="1" applyFont="1" applyFill="1" applyBorder="1" applyAlignment="1">
      <alignment horizontal="left"/>
    </xf>
    <xf numFmtId="1" fontId="68" fillId="5" borderId="5" xfId="1" applyNumberFormat="1" applyFont="1" applyFill="1" applyBorder="1" applyAlignment="1">
      <alignment horizontal="left"/>
    </xf>
    <xf numFmtId="0" fontId="26" fillId="5" borderId="0" xfId="0" applyFont="1" applyFill="1" applyBorder="1" applyAlignment="1"/>
    <xf numFmtId="0" fontId="26" fillId="5" borderId="18" xfId="0" applyFont="1" applyFill="1" applyBorder="1" applyAlignment="1">
      <alignment horizontal="right"/>
    </xf>
    <xf numFmtId="0" fontId="16" fillId="5" borderId="18" xfId="0" applyFont="1" applyFill="1" applyBorder="1" applyAlignment="1">
      <alignment horizontal="right"/>
    </xf>
    <xf numFmtId="0" fontId="4" fillId="5" borderId="18" xfId="0" applyFont="1" applyFill="1" applyBorder="1" applyAlignment="1">
      <alignment horizontal="right"/>
    </xf>
    <xf numFmtId="0" fontId="4" fillId="5" borderId="0" xfId="0" applyFont="1" applyFill="1" applyBorder="1" applyAlignment="1">
      <alignment horizontal="right"/>
    </xf>
    <xf numFmtId="2" fontId="16" fillId="5" borderId="18" xfId="0" applyNumberFormat="1" applyFont="1" applyFill="1" applyBorder="1" applyAlignment="1">
      <alignment horizontal="right"/>
    </xf>
    <xf numFmtId="2" fontId="16" fillId="5" borderId="0" xfId="0" applyNumberFormat="1" applyFont="1" applyFill="1" applyBorder="1" applyAlignment="1">
      <alignment horizontal="right"/>
    </xf>
    <xf numFmtId="0" fontId="3" fillId="5" borderId="0" xfId="0" applyFont="1" applyFill="1" applyBorder="1" applyAlignment="1">
      <alignment horizontal="center" vertical="center" wrapText="1"/>
    </xf>
    <xf numFmtId="0" fontId="37" fillId="2" borderId="0" xfId="0" applyFont="1" applyFill="1"/>
    <xf numFmtId="0" fontId="37" fillId="2" borderId="0" xfId="0" applyFont="1" applyFill="1" applyBorder="1"/>
    <xf numFmtId="2" fontId="70" fillId="2" borderId="0" xfId="0" applyNumberFormat="1" applyFont="1" applyFill="1" applyBorder="1"/>
    <xf numFmtId="2" fontId="37" fillId="2" borderId="0" xfId="0" applyNumberFormat="1" applyFont="1" applyFill="1" applyBorder="1"/>
    <xf numFmtId="0" fontId="5" fillId="5" borderId="53" xfId="0" applyFont="1" applyFill="1" applyBorder="1" applyAlignment="1"/>
    <xf numFmtId="0" fontId="16" fillId="18" borderId="0" xfId="8" applyFont="1" applyFill="1" applyBorder="1" applyAlignment="1">
      <alignment horizontal="left"/>
    </xf>
    <xf numFmtId="0" fontId="16" fillId="12" borderId="0" xfId="8" applyFont="1" applyFill="1" applyBorder="1" applyAlignment="1">
      <alignment horizontal="left"/>
    </xf>
    <xf numFmtId="0" fontId="16" fillId="32" borderId="0" xfId="8" applyFont="1" applyFill="1" applyBorder="1" applyAlignment="1">
      <alignment horizontal="left"/>
    </xf>
    <xf numFmtId="0" fontId="16" fillId="17" borderId="0" xfId="8" applyFont="1" applyFill="1" applyBorder="1" applyAlignment="1">
      <alignment horizontal="left"/>
    </xf>
    <xf numFmtId="0" fontId="16" fillId="15" borderId="0" xfId="8" applyFont="1" applyFill="1" applyBorder="1" applyAlignment="1">
      <alignment horizontal="left"/>
    </xf>
    <xf numFmtId="0" fontId="16" fillId="5" borderId="0" xfId="0" applyFont="1" applyFill="1" applyBorder="1" applyAlignment="1">
      <alignment horizontal="center" vertical="center" wrapText="1"/>
    </xf>
    <xf numFmtId="0" fontId="0" fillId="2" borderId="0" xfId="0" applyFill="1" applyAlignment="1">
      <alignment vertical="center"/>
    </xf>
    <xf numFmtId="0" fontId="4" fillId="5" borderId="18" xfId="0" applyFont="1" applyFill="1" applyBorder="1" applyAlignment="1"/>
    <xf numFmtId="2" fontId="16" fillId="5" borderId="18" xfId="0" applyNumberFormat="1" applyFont="1" applyFill="1" applyBorder="1" applyAlignment="1"/>
    <xf numFmtId="0" fontId="0" fillId="2" borderId="0" xfId="0" applyFill="1" applyBorder="1" applyAlignment="1">
      <alignment vertical="center"/>
    </xf>
    <xf numFmtId="0" fontId="26" fillId="2" borderId="0" xfId="0" applyFont="1" applyFill="1" applyBorder="1" applyAlignment="1">
      <alignment vertical="center"/>
    </xf>
    <xf numFmtId="0" fontId="6" fillId="5" borderId="0" xfId="0" applyFont="1" applyFill="1" applyBorder="1" applyAlignment="1">
      <alignment vertical="center"/>
    </xf>
    <xf numFmtId="0" fontId="6" fillId="2" borderId="0" xfId="0" applyFont="1" applyFill="1" applyAlignment="1">
      <alignment vertical="center"/>
    </xf>
    <xf numFmtId="0" fontId="16" fillId="5" borderId="18" xfId="0" applyFont="1" applyFill="1" applyBorder="1" applyAlignment="1">
      <alignment vertical="top"/>
    </xf>
    <xf numFmtId="0" fontId="16" fillId="5" borderId="0" xfId="0" applyFont="1" applyFill="1" applyBorder="1" applyAlignment="1">
      <alignment wrapText="1"/>
    </xf>
    <xf numFmtId="0" fontId="16" fillId="5" borderId="18" xfId="0" applyFont="1" applyFill="1" applyBorder="1" applyAlignment="1">
      <alignment horizontal="left" vertical="center"/>
    </xf>
    <xf numFmtId="0" fontId="0" fillId="4" borderId="15" xfId="0" applyFill="1" applyBorder="1" applyAlignment="1">
      <alignment vertical="center"/>
    </xf>
    <xf numFmtId="0" fontId="64" fillId="4" borderId="17" xfId="0" applyFont="1" applyFill="1" applyBorder="1" applyAlignment="1">
      <alignment vertical="center"/>
    </xf>
    <xf numFmtId="0" fontId="0" fillId="4" borderId="0" xfId="0"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5" borderId="0" xfId="0" applyFill="1" applyBorder="1" applyProtection="1">
      <protection hidden="1"/>
    </xf>
    <xf numFmtId="0" fontId="16" fillId="10" borderId="0" xfId="0" applyFont="1" applyFill="1" applyBorder="1" applyAlignment="1" applyProtection="1">
      <alignment horizontal="left" vertical="center" wrapText="1"/>
      <protection hidden="1"/>
    </xf>
    <xf numFmtId="0" fontId="26" fillId="8" borderId="0" xfId="0" applyFont="1" applyFill="1" applyBorder="1" applyAlignment="1" applyProtection="1">
      <alignment vertical="top" wrapText="1"/>
      <protection hidden="1"/>
    </xf>
    <xf numFmtId="2" fontId="26" fillId="8" borderId="0" xfId="0" applyNumberFormat="1" applyFont="1" applyFill="1" applyBorder="1" applyAlignment="1" applyProtection="1">
      <alignment vertical="center"/>
      <protection hidden="1"/>
    </xf>
    <xf numFmtId="0" fontId="12" fillId="20" borderId="0" xfId="0" applyFont="1" applyFill="1" applyBorder="1" applyAlignment="1" applyProtection="1">
      <alignment vertical="center"/>
      <protection hidden="1"/>
    </xf>
    <xf numFmtId="0" fontId="26" fillId="8" borderId="0" xfId="0" applyFont="1" applyFill="1" applyBorder="1" applyAlignment="1" applyProtection="1">
      <protection hidden="1"/>
    </xf>
    <xf numFmtId="2" fontId="26" fillId="8" borderId="0" xfId="0" applyNumberFormat="1" applyFont="1" applyFill="1" applyBorder="1" applyAlignment="1" applyProtection="1">
      <alignment vertical="top" wrapText="1"/>
      <protection hidden="1"/>
    </xf>
    <xf numFmtId="0" fontId="26" fillId="20" borderId="0" xfId="0" applyFont="1" applyFill="1" applyBorder="1" applyAlignment="1" applyProtection="1">
      <alignment vertical="top" wrapText="1"/>
      <protection hidden="1"/>
    </xf>
    <xf numFmtId="2" fontId="26" fillId="2" borderId="0" xfId="0" applyNumberFormat="1" applyFont="1" applyFill="1" applyBorder="1" applyAlignment="1" applyProtection="1">
      <alignment horizontal="left" vertical="top" wrapText="1"/>
      <protection hidden="1"/>
    </xf>
    <xf numFmtId="0" fontId="4" fillId="2" borderId="0" xfId="0" applyFont="1" applyFill="1" applyBorder="1" applyProtection="1">
      <protection hidden="1"/>
    </xf>
    <xf numFmtId="0" fontId="0" fillId="7" borderId="0" xfId="0" applyFill="1" applyProtection="1">
      <protection hidden="1"/>
    </xf>
    <xf numFmtId="0" fontId="3" fillId="4" borderId="0" xfId="0" applyFont="1" applyFill="1" applyAlignment="1" applyProtection="1">
      <alignment horizontal="center"/>
      <protection hidden="1"/>
    </xf>
    <xf numFmtId="0" fontId="3" fillId="4" borderId="0" xfId="0" applyFont="1" applyFill="1" applyProtection="1">
      <protection hidden="1"/>
    </xf>
    <xf numFmtId="0" fontId="3" fillId="4" borderId="0" xfId="0" applyFont="1" applyFill="1" applyBorder="1" applyAlignment="1" applyProtection="1">
      <protection hidden="1"/>
    </xf>
    <xf numFmtId="0" fontId="5" fillId="4" borderId="0" xfId="0" applyFont="1" applyFill="1" applyProtection="1">
      <protection hidden="1"/>
    </xf>
    <xf numFmtId="0" fontId="3" fillId="4" borderId="0" xfId="0" applyFont="1" applyFill="1" applyAlignment="1" applyProtection="1">
      <alignment horizontal="right"/>
      <protection hidden="1"/>
    </xf>
    <xf numFmtId="0" fontId="4" fillId="9" borderId="0" xfId="0" applyFont="1" applyFill="1" applyBorder="1" applyProtection="1">
      <protection hidden="1"/>
    </xf>
    <xf numFmtId="0" fontId="0" fillId="9" borderId="0" xfId="0" applyFill="1" applyBorder="1" applyProtection="1">
      <protection hidden="1"/>
    </xf>
    <xf numFmtId="0" fontId="4" fillId="9" borderId="6" xfId="0" applyFont="1" applyFill="1" applyBorder="1" applyProtection="1">
      <protection hidden="1"/>
    </xf>
    <xf numFmtId="0" fontId="0" fillId="9" borderId="6" xfId="0" applyFill="1" applyBorder="1" applyProtection="1">
      <protection hidden="1"/>
    </xf>
    <xf numFmtId="0" fontId="0" fillId="4" borderId="0" xfId="0" applyFill="1" applyBorder="1" applyProtection="1">
      <protection hidden="1"/>
    </xf>
    <xf numFmtId="0" fontId="3" fillId="2" borderId="0" xfId="0" applyFont="1" applyFill="1" applyProtection="1">
      <protection hidden="1"/>
    </xf>
    <xf numFmtId="0" fontId="3" fillId="4" borderId="7" xfId="0" applyFont="1" applyFill="1" applyBorder="1" applyProtection="1">
      <protection hidden="1"/>
    </xf>
    <xf numFmtId="0" fontId="3" fillId="4" borderId="8" xfId="0" applyFont="1" applyFill="1" applyBorder="1" applyProtection="1">
      <protection hidden="1"/>
    </xf>
    <xf numFmtId="0" fontId="5" fillId="4" borderId="9" xfId="0" applyFont="1" applyFill="1" applyBorder="1" applyProtection="1">
      <protection hidden="1"/>
    </xf>
    <xf numFmtId="0" fontId="3" fillId="4" borderId="15" xfId="0" applyFont="1" applyFill="1" applyBorder="1" applyProtection="1">
      <protection hidden="1"/>
    </xf>
    <xf numFmtId="0" fontId="3" fillId="4" borderId="16" xfId="0" applyFont="1" applyFill="1" applyBorder="1" applyProtection="1">
      <protection hidden="1"/>
    </xf>
    <xf numFmtId="0" fontId="5" fillId="4" borderId="16" xfId="0" applyFont="1" applyFill="1" applyBorder="1" applyProtection="1">
      <protection hidden="1"/>
    </xf>
    <xf numFmtId="0" fontId="5" fillId="4" borderId="17" xfId="0" applyFont="1" applyFill="1" applyBorder="1" applyProtection="1">
      <protection hidden="1"/>
    </xf>
    <xf numFmtId="0" fontId="3" fillId="4" borderId="40" xfId="0" applyFont="1" applyFill="1" applyBorder="1" applyProtection="1">
      <protection hidden="1"/>
    </xf>
    <xf numFmtId="0" fontId="0" fillId="9" borderId="10" xfId="0" applyFill="1" applyBorder="1" applyProtection="1">
      <protection hidden="1"/>
    </xf>
    <xf numFmtId="0" fontId="4" fillId="10" borderId="10" xfId="0" applyFont="1" applyFill="1" applyBorder="1" applyProtection="1">
      <protection hidden="1"/>
    </xf>
    <xf numFmtId="0" fontId="0" fillId="9" borderId="11" xfId="0" applyFill="1" applyBorder="1" applyProtection="1">
      <protection hidden="1"/>
    </xf>
    <xf numFmtId="0" fontId="4" fillId="18" borderId="10" xfId="0" applyFont="1" applyFill="1" applyBorder="1" applyProtection="1">
      <protection hidden="1"/>
    </xf>
    <xf numFmtId="0" fontId="0" fillId="9" borderId="12" xfId="0" applyFill="1" applyBorder="1" applyProtection="1">
      <protection hidden="1"/>
    </xf>
    <xf numFmtId="0" fontId="0" fillId="9" borderId="13" xfId="0" applyFill="1" applyBorder="1" applyProtection="1">
      <protection hidden="1"/>
    </xf>
    <xf numFmtId="0" fontId="0" fillId="9" borderId="14" xfId="0" applyFill="1" applyBorder="1" applyProtection="1">
      <protection hidden="1"/>
    </xf>
    <xf numFmtId="0" fontId="4" fillId="12" borderId="10" xfId="0" applyFont="1" applyFill="1" applyBorder="1" applyProtection="1">
      <protection hidden="1"/>
    </xf>
    <xf numFmtId="0" fontId="4" fillId="22" borderId="10" xfId="0" applyFont="1" applyFill="1" applyBorder="1" applyProtection="1">
      <protection hidden="1"/>
    </xf>
    <xf numFmtId="0" fontId="4" fillId="15" borderId="10" xfId="0" applyFont="1" applyFill="1" applyBorder="1" applyProtection="1">
      <protection hidden="1"/>
    </xf>
    <xf numFmtId="0" fontId="25" fillId="7" borderId="0" xfId="0" applyFont="1" applyFill="1" applyProtection="1">
      <protection hidden="1"/>
    </xf>
    <xf numFmtId="0" fontId="12" fillId="7" borderId="0" xfId="0" applyFont="1" applyFill="1" applyAlignment="1" applyProtection="1">
      <alignment horizontal="right"/>
      <protection hidden="1"/>
    </xf>
    <xf numFmtId="0" fontId="12" fillId="7" borderId="0" xfId="0" applyFont="1" applyFill="1" applyProtection="1">
      <protection hidden="1"/>
    </xf>
    <xf numFmtId="0" fontId="25" fillId="4" borderId="0" xfId="0" applyFont="1" applyFill="1" applyProtection="1">
      <protection hidden="1"/>
    </xf>
    <xf numFmtId="0" fontId="25" fillId="2" borderId="0" xfId="0" applyFont="1" applyFill="1" applyProtection="1">
      <protection hidden="1"/>
    </xf>
    <xf numFmtId="0" fontId="28" fillId="2" borderId="0" xfId="0" applyFont="1" applyFill="1" applyProtection="1">
      <protection hidden="1"/>
    </xf>
    <xf numFmtId="0" fontId="12" fillId="2" borderId="0" xfId="0" applyFont="1" applyFill="1" applyAlignment="1" applyProtection="1">
      <alignment horizontal="right"/>
      <protection hidden="1"/>
    </xf>
    <xf numFmtId="0" fontId="12" fillId="2" borderId="0" xfId="0" applyFont="1" applyFill="1" applyProtection="1">
      <protection hidden="1"/>
    </xf>
    <xf numFmtId="0" fontId="3" fillId="4" borderId="6" xfId="0" applyFont="1" applyFill="1" applyBorder="1" applyProtection="1">
      <protection hidden="1"/>
    </xf>
    <xf numFmtId="0" fontId="3" fillId="4" borderId="6" xfId="0" applyFont="1" applyFill="1" applyBorder="1" applyAlignment="1" applyProtection="1">
      <alignment wrapText="1"/>
      <protection hidden="1"/>
    </xf>
    <xf numFmtId="0" fontId="3" fillId="4" borderId="6" xfId="0" applyFont="1" applyFill="1" applyBorder="1" applyAlignment="1" applyProtection="1">
      <protection hidden="1"/>
    </xf>
    <xf numFmtId="0" fontId="4" fillId="10" borderId="6" xfId="0" applyFont="1" applyFill="1" applyBorder="1" applyAlignment="1" applyProtection="1">
      <alignment horizontal="center" vertical="center" wrapText="1"/>
      <protection hidden="1"/>
    </xf>
    <xf numFmtId="0" fontId="0" fillId="9" borderId="6" xfId="0" applyFont="1" applyFill="1" applyBorder="1" applyProtection="1">
      <protection hidden="1"/>
    </xf>
    <xf numFmtId="0" fontId="0" fillId="10" borderId="6" xfId="0" applyFont="1" applyFill="1" applyBorder="1" applyAlignment="1" applyProtection="1">
      <alignment vertical="center" wrapText="1"/>
      <protection hidden="1"/>
    </xf>
    <xf numFmtId="164" fontId="0" fillId="9" borderId="6" xfId="7" applyFont="1" applyFill="1" applyBorder="1" applyProtection="1">
      <protection hidden="1"/>
    </xf>
    <xf numFmtId="164" fontId="0" fillId="9" borderId="6" xfId="0" applyNumberFormat="1" applyFill="1" applyBorder="1" applyProtection="1">
      <protection hidden="1"/>
    </xf>
    <xf numFmtId="0" fontId="4" fillId="18" borderId="6" xfId="0" applyFont="1" applyFill="1" applyBorder="1" applyAlignment="1" applyProtection="1">
      <alignment horizontal="center" vertical="center" wrapText="1"/>
      <protection hidden="1"/>
    </xf>
    <xf numFmtId="0" fontId="0" fillId="18" borderId="6" xfId="0" applyFont="1" applyFill="1" applyBorder="1" applyAlignment="1" applyProtection="1">
      <alignment vertical="center" wrapText="1"/>
      <protection hidden="1"/>
    </xf>
    <xf numFmtId="0" fontId="4" fillId="12" borderId="6" xfId="0" applyFont="1" applyFill="1" applyBorder="1" applyAlignment="1" applyProtection="1">
      <alignment horizontal="center" vertical="center" wrapText="1"/>
      <protection hidden="1"/>
    </xf>
    <xf numFmtId="0" fontId="0" fillId="12" borderId="6" xfId="0" applyFont="1" applyFill="1" applyBorder="1" applyAlignment="1" applyProtection="1">
      <alignment vertical="center" wrapText="1"/>
      <protection hidden="1"/>
    </xf>
    <xf numFmtId="0" fontId="4" fillId="33" borderId="10" xfId="0" applyFont="1" applyFill="1" applyBorder="1" applyProtection="1">
      <protection hidden="1"/>
    </xf>
    <xf numFmtId="0" fontId="4" fillId="33" borderId="6" xfId="0" applyFont="1" applyFill="1" applyBorder="1" applyAlignment="1" applyProtection="1">
      <alignment horizontal="center" vertical="center" wrapText="1"/>
      <protection hidden="1"/>
    </xf>
    <xf numFmtId="0" fontId="0" fillId="33" borderId="6" xfId="0" applyFont="1" applyFill="1" applyBorder="1" applyAlignment="1" applyProtection="1">
      <alignment vertical="center" wrapText="1"/>
      <protection hidden="1"/>
    </xf>
    <xf numFmtId="0" fontId="4" fillId="22" borderId="6" xfId="0" applyFont="1" applyFill="1" applyBorder="1" applyAlignment="1" applyProtection="1">
      <alignment horizontal="center" vertical="center" wrapText="1"/>
      <protection hidden="1"/>
    </xf>
    <xf numFmtId="0" fontId="0" fillId="22" borderId="6" xfId="0" applyFont="1" applyFill="1" applyBorder="1" applyAlignment="1" applyProtection="1">
      <alignment vertical="center" wrapText="1"/>
      <protection hidden="1"/>
    </xf>
    <xf numFmtId="0" fontId="89" fillId="2" borderId="0" xfId="0" applyFont="1" applyFill="1" applyProtection="1">
      <protection hidden="1"/>
    </xf>
    <xf numFmtId="0" fontId="4" fillId="15" borderId="6" xfId="0" applyFont="1" applyFill="1" applyBorder="1" applyAlignment="1" applyProtection="1">
      <alignment horizontal="center" vertical="center" wrapText="1"/>
      <protection hidden="1"/>
    </xf>
    <xf numFmtId="0" fontId="0" fillId="15" borderId="6" xfId="0" applyFont="1" applyFill="1" applyBorder="1" applyAlignment="1" applyProtection="1">
      <alignment vertical="center" wrapText="1"/>
      <protection hidden="1"/>
    </xf>
    <xf numFmtId="0" fontId="4" fillId="10" borderId="0" xfId="0" applyFont="1" applyFill="1" applyProtection="1">
      <protection hidden="1"/>
    </xf>
    <xf numFmtId="0" fontId="0" fillId="10" borderId="0" xfId="0" applyFill="1" applyProtection="1">
      <protection hidden="1"/>
    </xf>
    <xf numFmtId="0" fontId="4" fillId="2" borderId="0" xfId="0" applyFont="1" applyFill="1" applyProtection="1">
      <protection hidden="1"/>
    </xf>
    <xf numFmtId="0" fontId="22" fillId="2" borderId="0" xfId="0" applyFont="1" applyFill="1" applyBorder="1" applyAlignment="1" applyProtection="1">
      <alignment horizontal="center"/>
      <protection hidden="1"/>
    </xf>
    <xf numFmtId="2" fontId="0" fillId="2" borderId="0" xfId="0" applyNumberFormat="1" applyFill="1" applyBorder="1" applyAlignment="1" applyProtection="1">
      <alignment vertical="center" wrapText="1"/>
      <protection hidden="1"/>
    </xf>
    <xf numFmtId="0" fontId="0" fillId="9" borderId="0" xfId="0" applyFill="1" applyProtection="1">
      <protection hidden="1"/>
    </xf>
    <xf numFmtId="0" fontId="12" fillId="18" borderId="0" xfId="0" applyFont="1" applyFill="1" applyProtection="1">
      <protection hidden="1"/>
    </xf>
    <xf numFmtId="0" fontId="4" fillId="18" borderId="0" xfId="0" applyFont="1" applyFill="1" applyProtection="1">
      <protection hidden="1"/>
    </xf>
    <xf numFmtId="0" fontId="4" fillId="18" borderId="0" xfId="0" applyFont="1" applyFill="1" applyBorder="1" applyProtection="1">
      <protection hidden="1"/>
    </xf>
    <xf numFmtId="0" fontId="4" fillId="4" borderId="0" xfId="0" applyFont="1" applyFill="1" applyProtection="1">
      <protection hidden="1"/>
    </xf>
    <xf numFmtId="0" fontId="3" fillId="4" borderId="0" xfId="0" applyFont="1" applyFill="1" applyBorder="1" applyProtection="1">
      <protection hidden="1"/>
    </xf>
    <xf numFmtId="0" fontId="0" fillId="7" borderId="0" xfId="0" applyFill="1" applyBorder="1" applyProtection="1">
      <protection hidden="1"/>
    </xf>
    <xf numFmtId="0" fontId="16" fillId="2" borderId="0" xfId="3" applyFont="1" applyFill="1" applyBorder="1" applyAlignment="1" applyProtection="1">
      <alignment horizontal="right" vertical="center" wrapText="1"/>
      <protection hidden="1"/>
    </xf>
    <xf numFmtId="0" fontId="6" fillId="2" borderId="0" xfId="0" applyFont="1" applyFill="1" applyBorder="1" applyAlignment="1" applyProtection="1">
      <alignment wrapText="1"/>
      <protection hidden="1"/>
    </xf>
    <xf numFmtId="0" fontId="16" fillId="2" borderId="0" xfId="0" applyFont="1" applyFill="1" applyBorder="1" applyProtection="1">
      <protection hidden="1"/>
    </xf>
    <xf numFmtId="0" fontId="22" fillId="2" borderId="0" xfId="0" applyFont="1" applyFill="1" applyBorder="1" applyProtection="1">
      <protection hidden="1"/>
    </xf>
    <xf numFmtId="0" fontId="16" fillId="12" borderId="0" xfId="3" applyFont="1" applyFill="1" applyBorder="1" applyAlignment="1" applyProtection="1">
      <alignment horizontal="right" vertical="center" wrapText="1"/>
      <protection hidden="1"/>
    </xf>
    <xf numFmtId="0" fontId="6" fillId="12" borderId="0" xfId="0" applyFont="1" applyFill="1" applyBorder="1" applyAlignment="1" applyProtection="1">
      <alignment wrapText="1"/>
      <protection hidden="1"/>
    </xf>
    <xf numFmtId="0" fontId="0" fillId="12" borderId="0" xfId="0" applyFill="1" applyProtection="1">
      <protection hidden="1"/>
    </xf>
    <xf numFmtId="0" fontId="16" fillId="12" borderId="0" xfId="0" applyFont="1" applyFill="1" applyBorder="1" applyProtection="1">
      <protection hidden="1"/>
    </xf>
    <xf numFmtId="0" fontId="0" fillId="12" borderId="0" xfId="0" applyFill="1" applyBorder="1" applyProtection="1">
      <protection hidden="1"/>
    </xf>
    <xf numFmtId="0" fontId="4" fillId="9" borderId="0" xfId="0" applyFont="1" applyFill="1" applyProtection="1">
      <protection hidden="1"/>
    </xf>
    <xf numFmtId="0" fontId="0" fillId="3" borderId="6" xfId="0" applyFill="1" applyBorder="1" applyProtection="1">
      <protection hidden="1"/>
    </xf>
    <xf numFmtId="0" fontId="17" fillId="2" borderId="0" xfId="0" applyFont="1" applyFill="1" applyBorder="1" applyProtection="1">
      <protection hidden="1"/>
    </xf>
    <xf numFmtId="0" fontId="33" fillId="31" borderId="0" xfId="0" applyFont="1" applyFill="1" applyBorder="1" applyAlignment="1" applyProtection="1">
      <alignment horizontal="center" wrapText="1"/>
      <protection hidden="1"/>
    </xf>
    <xf numFmtId="9" fontId="0" fillId="2" borderId="0" xfId="0" applyNumberFormat="1" applyFill="1" applyBorder="1" applyProtection="1">
      <protection hidden="1"/>
    </xf>
    <xf numFmtId="0" fontId="16" fillId="29" borderId="0" xfId="3" applyFont="1" applyFill="1" applyBorder="1" applyAlignment="1" applyProtection="1">
      <alignment horizontal="right" vertical="center" wrapText="1"/>
      <protection hidden="1"/>
    </xf>
    <xf numFmtId="0" fontId="17" fillId="29" borderId="0" xfId="0" applyFont="1" applyFill="1" applyBorder="1" applyProtection="1">
      <protection hidden="1"/>
    </xf>
    <xf numFmtId="0" fontId="0" fillId="29" borderId="0" xfId="0" applyFill="1" applyBorder="1" applyProtection="1">
      <protection hidden="1"/>
    </xf>
    <xf numFmtId="0" fontId="21" fillId="2" borderId="0" xfId="0" applyFont="1" applyFill="1" applyBorder="1" applyAlignment="1" applyProtection="1">
      <alignment horizontal="left" vertical="center"/>
      <protection hidden="1"/>
    </xf>
    <xf numFmtId="0" fontId="6" fillId="2" borderId="0" xfId="0" applyFont="1" applyFill="1" applyProtection="1">
      <protection hidden="1"/>
    </xf>
    <xf numFmtId="0" fontId="6" fillId="2" borderId="0" xfId="0" applyFont="1" applyFill="1" applyBorder="1" applyProtection="1">
      <protection hidden="1"/>
    </xf>
    <xf numFmtId="0" fontId="6" fillId="4" borderId="0" xfId="0" applyFont="1" applyFill="1" applyProtection="1">
      <protection hidden="1"/>
    </xf>
    <xf numFmtId="43" fontId="0" fillId="2" borderId="0" xfId="0" applyNumberFormat="1" applyFill="1" applyProtection="1">
      <protection hidden="1"/>
    </xf>
    <xf numFmtId="0" fontId="45" fillId="17" borderId="0" xfId="3" applyFont="1" applyFill="1" applyBorder="1" applyAlignment="1" applyProtection="1">
      <alignment horizontal="right" vertical="center" wrapText="1"/>
      <protection hidden="1"/>
    </xf>
    <xf numFmtId="0" fontId="46" fillId="17" borderId="0" xfId="0" applyFont="1" applyFill="1" applyBorder="1" applyAlignment="1" applyProtection="1">
      <alignment wrapText="1"/>
      <protection hidden="1"/>
    </xf>
    <xf numFmtId="0" fontId="46" fillId="17" borderId="0" xfId="0" applyFont="1" applyFill="1" applyProtection="1">
      <protection hidden="1"/>
    </xf>
    <xf numFmtId="0" fontId="45" fillId="17" borderId="0" xfId="0" applyFont="1" applyFill="1" applyBorder="1" applyProtection="1">
      <protection hidden="1"/>
    </xf>
    <xf numFmtId="0" fontId="45" fillId="17" borderId="0" xfId="0" applyFont="1" applyFill="1" applyBorder="1" applyAlignment="1" applyProtection="1">
      <alignment horizontal="center"/>
      <protection hidden="1"/>
    </xf>
    <xf numFmtId="0" fontId="46" fillId="17" borderId="0" xfId="0" applyFont="1" applyFill="1" applyBorder="1" applyProtection="1">
      <protection hidden="1"/>
    </xf>
    <xf numFmtId="0" fontId="46" fillId="4" borderId="0" xfId="0" applyFont="1" applyFill="1" applyProtection="1">
      <protection hidden="1"/>
    </xf>
    <xf numFmtId="0" fontId="46" fillId="2" borderId="0" xfId="0" applyFont="1" applyFill="1" applyProtection="1">
      <protection hidden="1"/>
    </xf>
    <xf numFmtId="0" fontId="16" fillId="15" borderId="0" xfId="3" applyFont="1" applyFill="1" applyBorder="1" applyAlignment="1" applyProtection="1">
      <alignment horizontal="right" vertical="center" wrapText="1"/>
      <protection hidden="1"/>
    </xf>
    <xf numFmtId="0" fontId="6" fillId="15" borderId="0" xfId="0" applyFont="1" applyFill="1" applyBorder="1" applyAlignment="1" applyProtection="1">
      <alignment wrapText="1"/>
      <protection hidden="1"/>
    </xf>
    <xf numFmtId="0" fontId="0" fillId="15" borderId="0" xfId="0" applyFill="1" applyProtection="1">
      <protection hidden="1"/>
    </xf>
    <xf numFmtId="0" fontId="0" fillId="15" borderId="0" xfId="0" applyFill="1" applyBorder="1" applyProtection="1">
      <protection hidden="1"/>
    </xf>
    <xf numFmtId="0" fontId="49" fillId="2" borderId="0" xfId="0" applyFont="1" applyFill="1" applyProtection="1">
      <protection hidden="1"/>
    </xf>
    <xf numFmtId="0" fontId="3" fillId="4" borderId="0" xfId="0" applyFont="1" applyFill="1" applyAlignment="1" applyProtection="1">
      <alignment horizontal="center"/>
      <protection hidden="1"/>
    </xf>
    <xf numFmtId="0" fontId="6" fillId="5" borderId="5" xfId="0" applyFont="1" applyFill="1" applyBorder="1" applyAlignment="1">
      <alignment vertical="center"/>
    </xf>
    <xf numFmtId="0" fontId="15" fillId="2" borderId="0"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3" fillId="4" borderId="0" xfId="0" applyFont="1" applyFill="1" applyBorder="1" applyAlignment="1">
      <alignment horizontal="center"/>
    </xf>
    <xf numFmtId="0" fontId="3" fillId="4" borderId="0" xfId="0" applyFont="1" applyFill="1" applyBorder="1" applyAlignment="1">
      <alignment horizontal="right"/>
    </xf>
    <xf numFmtId="0" fontId="61" fillId="5" borderId="0" xfId="8" applyFill="1" applyBorder="1" applyAlignment="1">
      <alignment vertical="center"/>
    </xf>
    <xf numFmtId="0" fontId="6" fillId="5" borderId="0" xfId="0" applyFont="1" applyFill="1" applyBorder="1" applyAlignment="1">
      <alignment horizontal="right" vertical="center"/>
    </xf>
    <xf numFmtId="0" fontId="16" fillId="5" borderId="0" xfId="8" applyFont="1" applyFill="1" applyBorder="1" applyAlignment="1">
      <alignment vertical="center"/>
    </xf>
    <xf numFmtId="0" fontId="11" fillId="5" borderId="0" xfId="0" applyFont="1" applyFill="1" applyBorder="1" applyAlignment="1">
      <alignment horizontal="right" vertical="center"/>
    </xf>
    <xf numFmtId="0" fontId="19" fillId="4" borderId="0" xfId="0" applyFont="1" applyFill="1" applyBorder="1" applyAlignment="1">
      <alignment horizontal="center"/>
    </xf>
    <xf numFmtId="0" fontId="19" fillId="4" borderId="0" xfId="0" applyFont="1" applyFill="1" applyBorder="1" applyAlignment="1">
      <alignment horizontal="left"/>
    </xf>
    <xf numFmtId="0" fontId="19" fillId="4" borderId="0" xfId="0" applyFont="1" applyFill="1" applyBorder="1"/>
    <xf numFmtId="0" fontId="68" fillId="14" borderId="0" xfId="0" applyFont="1" applyFill="1" applyBorder="1" applyAlignment="1">
      <alignment horizontal="center"/>
    </xf>
    <xf numFmtId="0" fontId="18" fillId="14" borderId="0" xfId="0" applyFont="1" applyFill="1" applyBorder="1" applyAlignment="1">
      <alignment horizontal="center" vertical="center"/>
    </xf>
    <xf numFmtId="0" fontId="19" fillId="4" borderId="0" xfId="0" applyFont="1" applyFill="1" applyBorder="1" applyAlignment="1"/>
    <xf numFmtId="0" fontId="17" fillId="17" borderId="0" xfId="0" applyFont="1" applyFill="1" applyBorder="1" applyAlignment="1">
      <alignment horizontal="center"/>
    </xf>
    <xf numFmtId="0" fontId="17" fillId="5" borderId="0" xfId="0" applyFont="1" applyFill="1" applyBorder="1" applyAlignment="1"/>
    <xf numFmtId="0" fontId="18" fillId="14" borderId="0" xfId="0" applyFont="1" applyFill="1" applyBorder="1" applyAlignment="1"/>
    <xf numFmtId="0" fontId="20" fillId="4" borderId="52" xfId="0" applyFont="1" applyFill="1" applyBorder="1" applyAlignment="1">
      <alignment vertical="center"/>
    </xf>
    <xf numFmtId="0" fontId="20" fillId="4" borderId="47" xfId="0" applyFont="1" applyFill="1" applyBorder="1" applyAlignment="1">
      <alignment vertical="center"/>
    </xf>
    <xf numFmtId="0" fontId="21" fillId="4" borderId="47" xfId="0" applyFont="1" applyFill="1" applyBorder="1" applyAlignment="1">
      <alignment vertical="center"/>
    </xf>
    <xf numFmtId="0" fontId="6" fillId="2" borderId="0" xfId="0" applyFont="1" applyFill="1" applyBorder="1" applyAlignment="1">
      <alignment vertical="center"/>
    </xf>
    <xf numFmtId="0" fontId="6" fillId="24" borderId="0" xfId="0" applyFont="1" applyFill="1" applyBorder="1" applyAlignment="1">
      <alignment vertical="center"/>
    </xf>
    <xf numFmtId="0" fontId="87" fillId="2" borderId="0" xfId="0" applyFont="1" applyFill="1" applyAlignment="1">
      <alignment vertical="center"/>
    </xf>
    <xf numFmtId="0" fontId="87" fillId="2" borderId="0" xfId="0" applyFont="1" applyFill="1" applyBorder="1" applyAlignment="1">
      <alignment vertical="center"/>
    </xf>
    <xf numFmtId="0" fontId="88" fillId="2" borderId="0" xfId="0" applyFont="1" applyFill="1" applyBorder="1" applyAlignment="1">
      <alignment vertical="center"/>
    </xf>
    <xf numFmtId="0" fontId="18" fillId="9" borderId="18" xfId="0" applyFont="1" applyFill="1" applyBorder="1" applyAlignment="1">
      <alignment horizontal="center" vertical="center"/>
    </xf>
    <xf numFmtId="0" fontId="65" fillId="2" borderId="0" xfId="0" applyFont="1" applyFill="1" applyBorder="1" applyAlignment="1">
      <alignment horizontal="center" vertical="center"/>
    </xf>
    <xf numFmtId="0" fontId="5" fillId="5" borderId="18" xfId="0" applyFont="1" applyFill="1" applyBorder="1" applyAlignment="1">
      <alignment vertical="center"/>
    </xf>
    <xf numFmtId="0" fontId="5" fillId="5" borderId="0" xfId="0" applyFont="1" applyFill="1" applyBorder="1" applyAlignment="1">
      <alignment vertical="center"/>
    </xf>
    <xf numFmtId="0" fontId="5" fillId="0" borderId="0" xfId="0" applyFont="1" applyFill="1" applyBorder="1" applyAlignment="1">
      <alignment vertical="center"/>
    </xf>
    <xf numFmtId="0" fontId="49" fillId="2" borderId="0" xfId="0" applyFont="1" applyFill="1" applyBorder="1" applyAlignment="1">
      <alignment vertical="center"/>
    </xf>
    <xf numFmtId="0" fontId="0" fillId="5" borderId="18" xfId="0" applyFill="1" applyBorder="1" applyAlignment="1">
      <alignment vertical="center"/>
    </xf>
    <xf numFmtId="0" fontId="16" fillId="5" borderId="18" xfId="0" applyFont="1" applyFill="1" applyBorder="1" applyAlignment="1">
      <alignment vertical="center"/>
    </xf>
    <xf numFmtId="0" fontId="16" fillId="5" borderId="0" xfId="0" applyFont="1" applyFill="1" applyBorder="1" applyAlignment="1">
      <alignment vertical="center"/>
    </xf>
    <xf numFmtId="0" fontId="65" fillId="5" borderId="0" xfId="0" applyFont="1" applyFill="1" applyBorder="1" applyAlignment="1">
      <alignment vertical="center"/>
    </xf>
    <xf numFmtId="0" fontId="55" fillId="2" borderId="0" xfId="0" applyFont="1" applyFill="1" applyBorder="1" applyAlignment="1">
      <alignment vertical="center"/>
    </xf>
    <xf numFmtId="0" fontId="6" fillId="5" borderId="18" xfId="0" applyFont="1" applyFill="1" applyBorder="1" applyAlignment="1">
      <alignment vertical="center"/>
    </xf>
    <xf numFmtId="0" fontId="49" fillId="2" borderId="0" xfId="0" applyFont="1" applyFill="1" applyAlignment="1">
      <alignment vertical="center"/>
    </xf>
    <xf numFmtId="0" fontId="40" fillId="2" borderId="0" xfId="0" applyFont="1" applyFill="1" applyAlignment="1">
      <alignment vertical="center"/>
    </xf>
    <xf numFmtId="2" fontId="55" fillId="2" borderId="0" xfId="0" applyNumberFormat="1" applyFont="1" applyFill="1" applyBorder="1" applyAlignment="1">
      <alignment vertical="center"/>
    </xf>
    <xf numFmtId="0" fontId="3" fillId="5" borderId="18" xfId="0" applyFont="1" applyFill="1" applyBorder="1" applyAlignment="1">
      <alignment vertical="center"/>
    </xf>
    <xf numFmtId="0" fontId="3" fillId="5" borderId="0" xfId="0" applyFont="1" applyFill="1" applyBorder="1" applyAlignment="1">
      <alignment vertical="center"/>
    </xf>
    <xf numFmtId="0" fontId="26" fillId="5" borderId="18" xfId="0" applyFont="1" applyFill="1" applyBorder="1" applyAlignment="1">
      <alignment vertical="center"/>
    </xf>
    <xf numFmtId="0" fontId="80" fillId="5" borderId="0" xfId="0" applyFont="1" applyFill="1" applyBorder="1" applyAlignment="1">
      <alignment vertical="center"/>
    </xf>
    <xf numFmtId="0" fontId="35" fillId="5" borderId="0" xfId="0" applyFont="1" applyFill="1" applyBorder="1" applyAlignment="1">
      <alignment vertical="center"/>
    </xf>
    <xf numFmtId="0" fontId="27" fillId="5" borderId="0" xfId="0" applyFont="1" applyFill="1" applyBorder="1" applyAlignment="1">
      <alignment horizontal="left" vertical="center"/>
    </xf>
    <xf numFmtId="9" fontId="68" fillId="5" borderId="5" xfId="1" applyFont="1" applyFill="1" applyBorder="1" applyAlignment="1">
      <alignment horizontal="left" vertical="center"/>
    </xf>
    <xf numFmtId="0" fontId="74" fillId="5" borderId="18" xfId="0" applyFont="1" applyFill="1" applyBorder="1" applyAlignment="1">
      <alignment vertical="center"/>
    </xf>
    <xf numFmtId="0" fontId="0" fillId="9" borderId="19" xfId="0" applyFill="1" applyBorder="1" applyAlignment="1">
      <alignment vertical="center"/>
    </xf>
    <xf numFmtId="0" fontId="0" fillId="9" borderId="20" xfId="0" applyFill="1" applyBorder="1" applyAlignment="1">
      <alignment vertical="center"/>
    </xf>
    <xf numFmtId="0" fontId="6" fillId="9" borderId="20" xfId="0" applyFont="1" applyFill="1" applyBorder="1" applyAlignment="1">
      <alignment vertical="center"/>
    </xf>
    <xf numFmtId="0" fontId="6" fillId="9" borderId="4" xfId="0" applyFont="1" applyFill="1" applyBorder="1" applyAlignment="1">
      <alignment vertical="center"/>
    </xf>
    <xf numFmtId="0" fontId="0" fillId="24" borderId="0" xfId="0" applyFill="1" applyAlignment="1">
      <alignment vertical="center"/>
    </xf>
    <xf numFmtId="0" fontId="87" fillId="24" borderId="0" xfId="0" applyFont="1" applyFill="1" applyAlignment="1">
      <alignment vertical="center"/>
    </xf>
    <xf numFmtId="0" fontId="49" fillId="24" borderId="0" xfId="0" applyFont="1" applyFill="1" applyAlignment="1">
      <alignment vertical="center"/>
    </xf>
    <xf numFmtId="0" fontId="6" fillId="10" borderId="0" xfId="0" applyFont="1" applyFill="1" applyBorder="1" applyAlignment="1">
      <alignment vertical="center"/>
    </xf>
    <xf numFmtId="0" fontId="3" fillId="4" borderId="0" xfId="0" applyFont="1" applyFill="1" applyBorder="1" applyAlignment="1">
      <alignment horizontal="left" vertical="center"/>
    </xf>
    <xf numFmtId="0" fontId="18" fillId="2" borderId="0" xfId="0" applyFont="1" applyFill="1" applyBorder="1" applyAlignment="1">
      <alignment vertical="center"/>
    </xf>
    <xf numFmtId="0" fontId="16" fillId="2" borderId="0" xfId="0" applyFont="1" applyFill="1" applyAlignment="1">
      <alignment vertical="center"/>
    </xf>
    <xf numFmtId="0" fontId="16" fillId="10" borderId="0" xfId="0" applyFont="1" applyFill="1" applyBorder="1" applyAlignment="1">
      <alignment horizontal="center" vertical="center"/>
    </xf>
    <xf numFmtId="0" fontId="10" fillId="2" borderId="0" xfId="0" applyFont="1" applyFill="1" applyAlignment="1">
      <alignment vertical="center" wrapText="1"/>
    </xf>
    <xf numFmtId="0" fontId="23"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Border="1" applyAlignment="1">
      <alignment horizontal="left" vertical="center" wrapText="1"/>
    </xf>
    <xf numFmtId="0" fontId="0" fillId="4" borderId="0" xfId="0" applyFill="1" applyAlignment="1"/>
    <xf numFmtId="0" fontId="0" fillId="4" borderId="0" xfId="0" applyFill="1" applyAlignment="1">
      <alignment horizontal="right"/>
    </xf>
    <xf numFmtId="0" fontId="0" fillId="4" borderId="0" xfId="0" applyFill="1" applyBorder="1"/>
    <xf numFmtId="0" fontId="6" fillId="4" borderId="0" xfId="0" applyFont="1" applyFill="1" applyBorder="1"/>
    <xf numFmtId="0" fontId="4" fillId="4" borderId="0" xfId="0" applyFont="1" applyFill="1" applyAlignment="1"/>
    <xf numFmtId="0" fontId="92" fillId="31" borderId="0" xfId="0" applyFont="1" applyFill="1" applyBorder="1" applyAlignment="1">
      <alignment horizontal="left"/>
    </xf>
    <xf numFmtId="0" fontId="0" fillId="4" borderId="0" xfId="0" applyFill="1" applyAlignment="1">
      <alignment vertical="center"/>
    </xf>
    <xf numFmtId="0" fontId="0" fillId="4" borderId="0" xfId="0" applyFill="1" applyBorder="1" applyAlignment="1">
      <alignment vertical="center"/>
    </xf>
    <xf numFmtId="0" fontId="18" fillId="4" borderId="0" xfId="0" applyFont="1" applyFill="1" applyBorder="1" applyAlignment="1">
      <alignment vertical="center"/>
    </xf>
    <xf numFmtId="0" fontId="6" fillId="4" borderId="0" xfId="0" applyFont="1" applyFill="1" applyBorder="1" applyAlignment="1">
      <alignment vertical="center"/>
    </xf>
    <xf numFmtId="0" fontId="7" fillId="4" borderId="0" xfId="0" applyFont="1" applyFill="1"/>
    <xf numFmtId="0" fontId="0" fillId="2" borderId="0" xfId="0" applyFill="1" applyAlignment="1">
      <alignment horizontal="right" vertical="center"/>
    </xf>
    <xf numFmtId="0" fontId="3" fillId="4" borderId="0" xfId="0" applyFont="1" applyFill="1" applyAlignment="1" applyProtection="1">
      <alignment horizontal="center" vertical="center" wrapText="1"/>
      <protection hidden="1"/>
    </xf>
    <xf numFmtId="0" fontId="0" fillId="19" borderId="6" xfId="0" applyFill="1" applyBorder="1" applyProtection="1">
      <protection hidden="1"/>
    </xf>
    <xf numFmtId="0" fontId="0" fillId="20" borderId="6" xfId="0" applyFill="1" applyBorder="1" applyProtection="1">
      <protection hidden="1"/>
    </xf>
    <xf numFmtId="0" fontId="0" fillId="6" borderId="6" xfId="0" applyFill="1" applyBorder="1" applyProtection="1">
      <protection hidden="1"/>
    </xf>
    <xf numFmtId="0" fontId="4" fillId="19" borderId="6" xfId="0" applyFont="1" applyFill="1" applyBorder="1" applyProtection="1">
      <protection hidden="1"/>
    </xf>
    <xf numFmtId="0" fontId="0" fillId="19" borderId="6" xfId="0" applyFont="1" applyFill="1" applyBorder="1" applyProtection="1">
      <protection hidden="1"/>
    </xf>
    <xf numFmtId="0" fontId="0" fillId="38" borderId="6" xfId="0" applyFill="1" applyBorder="1" applyProtection="1">
      <protection hidden="1"/>
    </xf>
    <xf numFmtId="0" fontId="0" fillId="22" borderId="6" xfId="0" applyFill="1" applyBorder="1" applyProtection="1">
      <protection hidden="1"/>
    </xf>
    <xf numFmtId="0" fontId="4" fillId="22" borderId="6" xfId="0" applyFont="1" applyFill="1" applyBorder="1" applyProtection="1">
      <protection hidden="1"/>
    </xf>
    <xf numFmtId="0" fontId="34" fillId="22" borderId="6" xfId="0" applyFont="1" applyFill="1" applyBorder="1" applyProtection="1">
      <protection hidden="1"/>
    </xf>
    <xf numFmtId="0" fontId="0" fillId="7" borderId="48" xfId="0" applyFill="1" applyBorder="1" applyProtection="1">
      <protection hidden="1"/>
    </xf>
    <xf numFmtId="0" fontId="0" fillId="3" borderId="11" xfId="0" applyFill="1" applyBorder="1" applyProtection="1">
      <protection hidden="1"/>
    </xf>
    <xf numFmtId="0" fontId="6" fillId="3" borderId="11" xfId="3" applyFont="1" applyFill="1" applyBorder="1" applyAlignment="1" applyProtection="1">
      <alignment vertical="center" wrapText="1"/>
      <protection hidden="1"/>
    </xf>
    <xf numFmtId="0" fontId="0" fillId="3" borderId="11" xfId="0" applyFill="1" applyBorder="1" applyAlignment="1" applyProtection="1">
      <alignment wrapText="1"/>
      <protection hidden="1"/>
    </xf>
    <xf numFmtId="0" fontId="6" fillId="38" borderId="11" xfId="3" applyFont="1" applyFill="1" applyBorder="1" applyAlignment="1" applyProtection="1">
      <alignment vertical="center" wrapText="1"/>
      <protection hidden="1"/>
    </xf>
    <xf numFmtId="0" fontId="6" fillId="38" borderId="11" xfId="0" applyFont="1" applyFill="1" applyBorder="1" applyAlignment="1" applyProtection="1">
      <alignment wrapText="1"/>
      <protection hidden="1"/>
    </xf>
    <xf numFmtId="0" fontId="0" fillId="7" borderId="18" xfId="0" applyFill="1" applyBorder="1" applyProtection="1">
      <protection hidden="1"/>
    </xf>
    <xf numFmtId="0" fontId="7" fillId="22" borderId="11" xfId="4" applyFont="1" applyFill="1" applyBorder="1" applyAlignment="1" applyProtection="1">
      <alignment vertical="top" wrapText="1"/>
      <protection hidden="1"/>
    </xf>
    <xf numFmtId="0" fontId="94" fillId="22" borderId="11" xfId="4" applyFont="1" applyFill="1" applyBorder="1" applyAlignment="1" applyProtection="1">
      <alignment horizontal="left" vertical="top" wrapText="1"/>
      <protection hidden="1"/>
    </xf>
    <xf numFmtId="0" fontId="13" fillId="6" borderId="11" xfId="4" applyFont="1" applyFill="1" applyBorder="1" applyAlignment="1" applyProtection="1">
      <alignment vertical="top" wrapText="1"/>
      <protection hidden="1"/>
    </xf>
    <xf numFmtId="0" fontId="13" fillId="6" borderId="11" xfId="5" applyFont="1" applyFill="1" applyBorder="1" applyAlignment="1" applyProtection="1">
      <alignment vertical="top" wrapText="1"/>
      <protection hidden="1"/>
    </xf>
    <xf numFmtId="0" fontId="7" fillId="6" borderId="11" xfId="5" applyFont="1" applyFill="1" applyBorder="1" applyAlignment="1" applyProtection="1">
      <alignment vertical="top" wrapText="1"/>
      <protection hidden="1"/>
    </xf>
    <xf numFmtId="0" fontId="0" fillId="6" borderId="13" xfId="0" applyFill="1" applyBorder="1" applyProtection="1">
      <protection hidden="1"/>
    </xf>
    <xf numFmtId="0" fontId="7" fillId="6" borderId="14" xfId="5" applyFont="1" applyFill="1" applyBorder="1" applyAlignment="1" applyProtection="1">
      <alignment vertical="top" wrapText="1"/>
      <protection hidden="1"/>
    </xf>
    <xf numFmtId="0" fontId="0" fillId="6" borderId="8" xfId="0" applyFill="1" applyBorder="1" applyProtection="1">
      <protection hidden="1"/>
    </xf>
    <xf numFmtId="0" fontId="13" fillId="6" borderId="9" xfId="4" applyFont="1" applyFill="1" applyBorder="1" applyAlignment="1" applyProtection="1">
      <alignment vertical="top" wrapText="1"/>
      <protection hidden="1"/>
    </xf>
    <xf numFmtId="0" fontId="0" fillId="22" borderId="8" xfId="0" applyFill="1" applyBorder="1" applyProtection="1">
      <protection hidden="1"/>
    </xf>
    <xf numFmtId="0" fontId="4" fillId="22" borderId="8" xfId="0" applyFont="1" applyFill="1" applyBorder="1" applyProtection="1">
      <protection hidden="1"/>
    </xf>
    <xf numFmtId="0" fontId="34" fillId="22" borderId="8" xfId="0" applyFont="1" applyFill="1" applyBorder="1" applyProtection="1">
      <protection hidden="1"/>
    </xf>
    <xf numFmtId="0" fontId="7" fillId="22" borderId="9" xfId="4" applyFont="1" applyFill="1" applyBorder="1" applyAlignment="1" applyProtection="1">
      <alignment vertical="top" wrapText="1"/>
      <protection hidden="1"/>
    </xf>
    <xf numFmtId="0" fontId="0" fillId="22" borderId="13" xfId="0" applyFill="1" applyBorder="1" applyProtection="1">
      <protection hidden="1"/>
    </xf>
    <xf numFmtId="0" fontId="4" fillId="22" borderId="13" xfId="0" applyFont="1" applyFill="1" applyBorder="1" applyProtection="1">
      <protection hidden="1"/>
    </xf>
    <xf numFmtId="0" fontId="34" fillId="22" borderId="13" xfId="0" applyFont="1" applyFill="1" applyBorder="1" applyProtection="1">
      <protection hidden="1"/>
    </xf>
    <xf numFmtId="0" fontId="7" fillId="22" borderId="14" xfId="4" applyFont="1" applyFill="1" applyBorder="1" applyAlignment="1" applyProtection="1">
      <alignment vertical="top" wrapText="1"/>
      <protection hidden="1"/>
    </xf>
    <xf numFmtId="0" fontId="6" fillId="7" borderId="26" xfId="0" applyFont="1" applyFill="1" applyBorder="1" applyAlignment="1" applyProtection="1">
      <alignment wrapText="1"/>
      <protection hidden="1"/>
    </xf>
    <xf numFmtId="0" fontId="0" fillId="38" borderId="8" xfId="0" applyFill="1" applyBorder="1" applyProtection="1">
      <protection hidden="1"/>
    </xf>
    <xf numFmtId="0" fontId="6" fillId="38" borderId="9" xfId="3" applyFont="1" applyFill="1" applyBorder="1" applyAlignment="1" applyProtection="1">
      <alignment vertical="center" wrapText="1"/>
      <protection hidden="1"/>
    </xf>
    <xf numFmtId="0" fontId="0" fillId="38" borderId="13" xfId="0" applyFill="1" applyBorder="1" applyProtection="1">
      <protection hidden="1"/>
    </xf>
    <xf numFmtId="0" fontId="6" fillId="38" borderId="14" xfId="0" applyFont="1" applyFill="1" applyBorder="1" applyAlignment="1" applyProtection="1">
      <alignment wrapText="1"/>
      <protection hidden="1"/>
    </xf>
    <xf numFmtId="0" fontId="0" fillId="3" borderId="13" xfId="0" applyFill="1" applyBorder="1" applyProtection="1">
      <protection hidden="1"/>
    </xf>
    <xf numFmtId="0" fontId="6" fillId="3" borderId="14" xfId="3" applyFont="1" applyFill="1" applyBorder="1" applyAlignment="1" applyProtection="1">
      <alignment vertical="center" wrapText="1"/>
      <protection hidden="1"/>
    </xf>
    <xf numFmtId="0" fontId="0" fillId="19" borderId="8" xfId="0" applyFill="1" applyBorder="1" applyProtection="1">
      <protection hidden="1"/>
    </xf>
    <xf numFmtId="0" fontId="0" fillId="19" borderId="11" xfId="0" applyFill="1" applyBorder="1" applyAlignment="1" applyProtection="1">
      <alignment wrapText="1"/>
      <protection hidden="1"/>
    </xf>
    <xf numFmtId="0" fontId="15" fillId="19" borderId="11" xfId="3" applyFont="1" applyFill="1" applyBorder="1" applyAlignment="1" applyProtection="1">
      <alignment vertical="center" wrapText="1"/>
      <protection hidden="1"/>
    </xf>
    <xf numFmtId="0" fontId="6" fillId="19" borderId="11" xfId="3" applyFont="1" applyFill="1" applyBorder="1" applyAlignment="1" applyProtection="1">
      <alignment vertical="center" wrapText="1"/>
      <protection hidden="1"/>
    </xf>
    <xf numFmtId="0" fontId="6" fillId="19" borderId="11" xfId="0" applyFont="1" applyFill="1" applyBorder="1" applyAlignment="1" applyProtection="1">
      <alignment wrapText="1"/>
      <protection hidden="1"/>
    </xf>
    <xf numFmtId="0" fontId="15" fillId="19" borderId="11" xfId="0" applyFont="1" applyFill="1" applyBorder="1" applyAlignment="1" applyProtection="1">
      <alignment vertical="top" wrapText="1"/>
      <protection hidden="1"/>
    </xf>
    <xf numFmtId="0" fontId="0" fillId="19" borderId="11" xfId="0" applyFill="1" applyBorder="1" applyAlignment="1" applyProtection="1">
      <alignment vertical="top" wrapText="1"/>
      <protection hidden="1"/>
    </xf>
    <xf numFmtId="0" fontId="13" fillId="19" borderId="11" xfId="5" applyFont="1" applyFill="1" applyBorder="1" applyAlignment="1" applyProtection="1">
      <alignment vertical="top" wrapText="1"/>
      <protection hidden="1"/>
    </xf>
    <xf numFmtId="0" fontId="0" fillId="19" borderId="11" xfId="0" applyFont="1" applyFill="1" applyBorder="1" applyAlignment="1" applyProtection="1">
      <alignment vertical="top" wrapText="1"/>
      <protection hidden="1"/>
    </xf>
    <xf numFmtId="0" fontId="13" fillId="19" borderId="11" xfId="5" applyFont="1" applyFill="1" applyBorder="1" applyAlignment="1" applyProtection="1">
      <alignment horizontal="left" vertical="top" wrapText="1"/>
      <protection hidden="1"/>
    </xf>
    <xf numFmtId="0" fontId="94" fillId="19" borderId="11" xfId="5" applyFont="1" applyFill="1" applyBorder="1" applyAlignment="1" applyProtection="1">
      <alignment vertical="top" wrapText="1"/>
      <protection hidden="1"/>
    </xf>
    <xf numFmtId="0" fontId="39" fillId="19" borderId="11" xfId="0" applyFont="1" applyFill="1" applyBorder="1" applyAlignment="1" applyProtection="1">
      <alignment horizontal="right" wrapText="1"/>
      <protection hidden="1"/>
    </xf>
    <xf numFmtId="0" fontId="0" fillId="20" borderId="8" xfId="0" applyFill="1" applyBorder="1" applyProtection="1">
      <protection hidden="1"/>
    </xf>
    <xf numFmtId="0" fontId="30" fillId="21" borderId="11" xfId="0" applyFont="1" applyFill="1" applyBorder="1" applyAlignment="1" applyProtection="1">
      <alignment wrapText="1"/>
      <protection hidden="1"/>
    </xf>
    <xf numFmtId="0" fontId="15" fillId="20" borderId="11" xfId="0" applyFont="1" applyFill="1" applyBorder="1" applyAlignment="1" applyProtection="1">
      <alignment wrapText="1"/>
      <protection hidden="1"/>
    </xf>
    <xf numFmtId="0" fontId="6" fillId="20" borderId="11" xfId="0" applyFont="1" applyFill="1" applyBorder="1" applyAlignment="1" applyProtection="1">
      <alignment wrapText="1"/>
      <protection hidden="1"/>
    </xf>
    <xf numFmtId="0" fontId="15" fillId="20" borderId="11" xfId="0" applyFont="1" applyFill="1" applyBorder="1" applyAlignment="1" applyProtection="1">
      <alignment horizontal="left" vertical="top" wrapText="1"/>
      <protection hidden="1"/>
    </xf>
    <xf numFmtId="0" fontId="6" fillId="20" borderId="11" xfId="0" applyFont="1" applyFill="1" applyBorder="1" applyAlignment="1" applyProtection="1">
      <alignment horizontal="left" wrapText="1"/>
      <protection hidden="1"/>
    </xf>
    <xf numFmtId="0" fontId="0" fillId="20" borderId="13" xfId="0" applyFill="1" applyBorder="1" applyProtection="1">
      <protection hidden="1"/>
    </xf>
    <xf numFmtId="0" fontId="6" fillId="20" borderId="14" xfId="0" applyFont="1" applyFill="1" applyBorder="1" applyAlignment="1" applyProtection="1">
      <alignment wrapText="1"/>
      <protection hidden="1"/>
    </xf>
    <xf numFmtId="0" fontId="3"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right" vertical="top"/>
      <protection hidden="1"/>
    </xf>
    <xf numFmtId="0" fontId="4" fillId="2" borderId="0" xfId="0" applyFont="1" applyFill="1" applyBorder="1" applyAlignment="1" applyProtection="1">
      <alignment horizontal="left" vertical="top"/>
      <protection hidden="1"/>
    </xf>
    <xf numFmtId="2" fontId="4" fillId="2" borderId="0" xfId="0" applyNumberFormat="1" applyFont="1" applyFill="1" applyBorder="1" applyProtection="1">
      <protection hidden="1"/>
    </xf>
    <xf numFmtId="164" fontId="16" fillId="2" borderId="0" xfId="7" applyFont="1" applyFill="1" applyBorder="1" applyProtection="1">
      <protection hidden="1"/>
    </xf>
    <xf numFmtId="9" fontId="16" fillId="2" borderId="0" xfId="1" applyFont="1" applyFill="1" applyBorder="1" applyProtection="1">
      <protection hidden="1"/>
    </xf>
    <xf numFmtId="0" fontId="4" fillId="2" borderId="0" xfId="0" applyFont="1" applyFill="1" applyBorder="1" applyAlignment="1" applyProtection="1">
      <alignment horizontal="right"/>
      <protection hidden="1"/>
    </xf>
    <xf numFmtId="0" fontId="4" fillId="2" borderId="0" xfId="0" applyFont="1" applyFill="1" applyBorder="1" applyAlignment="1" applyProtection="1">
      <protection hidden="1"/>
    </xf>
    <xf numFmtId="0" fontId="59" fillId="2" borderId="0" xfId="0" applyFont="1" applyFill="1" applyProtection="1">
      <protection hidden="1"/>
    </xf>
    <xf numFmtId="0" fontId="49" fillId="2" borderId="0" xfId="0" applyFont="1" applyFill="1" applyBorder="1" applyProtection="1">
      <protection hidden="1"/>
    </xf>
    <xf numFmtId="0" fontId="49" fillId="4" borderId="0" xfId="0" applyFont="1" applyFill="1" applyProtection="1">
      <protection hidden="1"/>
    </xf>
    <xf numFmtId="0" fontId="59" fillId="4" borderId="0" xfId="0" applyFont="1" applyFill="1" applyProtection="1">
      <protection hidden="1"/>
    </xf>
    <xf numFmtId="164" fontId="0" fillId="33" borderId="6" xfId="0" applyNumberFormat="1" applyFont="1" applyFill="1" applyBorder="1" applyAlignment="1" applyProtection="1">
      <alignment vertical="center" wrapText="1"/>
      <protection hidden="1"/>
    </xf>
    <xf numFmtId="0" fontId="4" fillId="9" borderId="6" xfId="0" applyFont="1" applyFill="1" applyBorder="1" applyAlignment="1" applyProtection="1">
      <alignment horizontal="center"/>
      <protection hidden="1"/>
    </xf>
    <xf numFmtId="0" fontId="6" fillId="16" borderId="0" xfId="0" applyFont="1" applyFill="1" applyBorder="1" applyAlignment="1">
      <alignment horizontal="right"/>
    </xf>
    <xf numFmtId="0" fontId="17" fillId="16" borderId="0" xfId="0" applyFont="1" applyFill="1" applyBorder="1" applyAlignment="1">
      <alignment horizontal="center" vertical="center"/>
    </xf>
    <xf numFmtId="0" fontId="16" fillId="16" borderId="0" xfId="3" applyFont="1" applyFill="1" applyBorder="1" applyAlignment="1" applyProtection="1">
      <alignment horizontal="right" vertical="center"/>
    </xf>
    <xf numFmtId="0" fontId="16" fillId="16" borderId="0" xfId="0" applyFont="1" applyFill="1" applyBorder="1" applyAlignment="1">
      <alignment horizontal="center" vertical="center"/>
    </xf>
    <xf numFmtId="0" fontId="6" fillId="16" borderId="0" xfId="0" applyFont="1" applyFill="1" applyBorder="1" applyAlignment="1">
      <alignment horizontal="center" vertical="center"/>
    </xf>
    <xf numFmtId="0" fontId="0" fillId="15" borderId="0" xfId="0" applyFill="1" applyBorder="1"/>
    <xf numFmtId="0" fontId="17" fillId="15" borderId="0" xfId="0" applyFont="1" applyFill="1" applyBorder="1" applyAlignment="1">
      <alignment horizontal="center"/>
    </xf>
    <xf numFmtId="0" fontId="16" fillId="15" borderId="0" xfId="3" applyFont="1" applyFill="1" applyBorder="1" applyAlignment="1" applyProtection="1">
      <alignment horizontal="right" vertical="center" wrapText="1"/>
    </xf>
    <xf numFmtId="0" fontId="6" fillId="22" borderId="0" xfId="0" applyFont="1" applyFill="1" applyBorder="1"/>
    <xf numFmtId="0" fontId="6" fillId="22" borderId="0" xfId="0" applyFont="1" applyFill="1" applyBorder="1" applyAlignment="1"/>
    <xf numFmtId="0" fontId="17" fillId="22" borderId="0" xfId="0" applyFont="1" applyFill="1" applyBorder="1" applyAlignment="1">
      <alignment horizontal="center"/>
    </xf>
    <xf numFmtId="0" fontId="16" fillId="22" borderId="0" xfId="3" applyFont="1" applyFill="1" applyBorder="1" applyAlignment="1" applyProtection="1">
      <alignment horizontal="right" vertical="center" wrapText="1"/>
    </xf>
    <xf numFmtId="0" fontId="16" fillId="22" borderId="0" xfId="0" applyFont="1" applyFill="1" applyBorder="1" applyAlignment="1">
      <alignment horizontal="center"/>
    </xf>
    <xf numFmtId="0" fontId="6" fillId="33" borderId="0" xfId="0" applyFont="1" applyFill="1" applyBorder="1"/>
    <xf numFmtId="0" fontId="6" fillId="33" borderId="0" xfId="0" applyFont="1" applyFill="1" applyBorder="1" applyAlignment="1"/>
    <xf numFmtId="0" fontId="16" fillId="33" borderId="0" xfId="0" applyFont="1" applyFill="1" applyBorder="1" applyAlignment="1">
      <alignment horizontal="center" vertical="center"/>
    </xf>
    <xf numFmtId="0" fontId="16" fillId="33" borderId="0" xfId="0" applyFont="1" applyFill="1" applyBorder="1" applyAlignment="1">
      <alignment horizontal="right" vertical="center"/>
    </xf>
    <xf numFmtId="0" fontId="16" fillId="33" borderId="0" xfId="3" applyFont="1" applyFill="1" applyBorder="1" applyAlignment="1" applyProtection="1">
      <alignment horizontal="right" vertical="center" wrapText="1"/>
    </xf>
    <xf numFmtId="0" fontId="16" fillId="16" borderId="0" xfId="0" applyFont="1" applyFill="1" applyBorder="1" applyAlignment="1">
      <alignment horizontal="right" vertical="center"/>
    </xf>
    <xf numFmtId="0" fontId="0" fillId="2" borderId="0" xfId="0" applyFill="1" applyAlignment="1" applyProtection="1">
      <alignment wrapText="1"/>
      <protection hidden="1"/>
    </xf>
    <xf numFmtId="0" fontId="0" fillId="9" borderId="67" xfId="0" applyFill="1" applyBorder="1" applyProtection="1">
      <protection hidden="1"/>
    </xf>
    <xf numFmtId="0" fontId="3" fillId="4" borderId="0" xfId="0" applyFont="1" applyFill="1" applyBorder="1" applyAlignment="1" applyProtection="1">
      <alignment horizontal="center"/>
      <protection hidden="1"/>
    </xf>
    <xf numFmtId="0" fontId="3" fillId="4" borderId="0" xfId="0" applyFont="1" applyFill="1" applyBorder="1" applyAlignment="1" applyProtection="1">
      <alignment horizontal="center" wrapText="1"/>
      <protection hidden="1"/>
    </xf>
    <xf numFmtId="164" fontId="0" fillId="2" borderId="0" xfId="0" applyNumberFormat="1" applyFill="1"/>
    <xf numFmtId="10" fontId="4" fillId="7" borderId="0" xfId="0" applyNumberFormat="1" applyFont="1" applyFill="1" applyProtection="1">
      <protection hidden="1"/>
    </xf>
    <xf numFmtId="0" fontId="22" fillId="4" borderId="0" xfId="3" applyFont="1" applyFill="1" applyBorder="1" applyAlignment="1" applyProtection="1">
      <alignment horizontal="right" vertical="center" wrapText="1"/>
      <protection hidden="1"/>
    </xf>
    <xf numFmtId="0" fontId="19" fillId="4" borderId="15" xfId="0" applyFont="1" applyFill="1" applyBorder="1"/>
    <xf numFmtId="0" fontId="19" fillId="4" borderId="16" xfId="0" applyFont="1" applyFill="1" applyBorder="1"/>
    <xf numFmtId="0" fontId="35" fillId="4" borderId="16" xfId="0" applyFont="1" applyFill="1" applyBorder="1"/>
    <xf numFmtId="0" fontId="96" fillId="4" borderId="0" xfId="0" applyFont="1" applyFill="1" applyBorder="1" applyProtection="1">
      <protection hidden="1"/>
    </xf>
    <xf numFmtId="0" fontId="17" fillId="7" borderId="0" xfId="0" applyFont="1" applyFill="1" applyBorder="1" applyProtection="1">
      <protection hidden="1"/>
    </xf>
    <xf numFmtId="9" fontId="0" fillId="9" borderId="0" xfId="0" applyNumberFormat="1" applyFill="1" applyBorder="1" applyProtection="1">
      <protection hidden="1"/>
    </xf>
    <xf numFmtId="0" fontId="0" fillId="2" borderId="0" xfId="0" applyFont="1" applyFill="1" applyProtection="1">
      <protection hidden="1"/>
    </xf>
    <xf numFmtId="0" fontId="16" fillId="7" borderId="0" xfId="0" applyFont="1" applyFill="1" applyProtection="1">
      <protection hidden="1"/>
    </xf>
    <xf numFmtId="0" fontId="63" fillId="4" borderId="0" xfId="0" applyFont="1" applyFill="1" applyProtection="1">
      <protection hidden="1"/>
    </xf>
    <xf numFmtId="0" fontId="79" fillId="2" borderId="0" xfId="0" applyFont="1" applyFill="1" applyProtection="1">
      <protection hidden="1"/>
    </xf>
    <xf numFmtId="0" fontId="54" fillId="2" borderId="0" xfId="0" applyFont="1" applyFill="1" applyProtection="1">
      <protection hidden="1"/>
    </xf>
    <xf numFmtId="0" fontId="54" fillId="4" borderId="0" xfId="0" applyFont="1" applyFill="1" applyProtection="1">
      <protection hidden="1"/>
    </xf>
    <xf numFmtId="0" fontId="62" fillId="4" borderId="0" xfId="0" applyFont="1" applyFill="1" applyProtection="1">
      <protection hidden="1"/>
    </xf>
    <xf numFmtId="0" fontId="97" fillId="2" borderId="0" xfId="0" applyFont="1" applyFill="1" applyProtection="1">
      <protection hidden="1"/>
    </xf>
    <xf numFmtId="0" fontId="0" fillId="14" borderId="0" xfId="0" applyFont="1" applyFill="1" applyBorder="1" applyAlignment="1">
      <alignment horizontal="center" vertical="center"/>
    </xf>
    <xf numFmtId="0" fontId="0" fillId="14" borderId="0" xfId="0" applyFont="1" applyFill="1" applyAlignment="1">
      <alignment vertical="top" wrapText="1"/>
    </xf>
    <xf numFmtId="0" fontId="0" fillId="4" borderId="0" xfId="0" applyFont="1" applyFill="1" applyProtection="1">
      <protection hidden="1"/>
    </xf>
    <xf numFmtId="0" fontId="0" fillId="14" borderId="20" xfId="0" applyFont="1" applyFill="1" applyBorder="1" applyAlignment="1">
      <alignment vertical="top" wrapText="1"/>
    </xf>
    <xf numFmtId="0" fontId="0" fillId="14" borderId="0" xfId="0" applyFont="1" applyFill="1" applyBorder="1" applyAlignment="1">
      <alignment horizontal="left" vertical="center"/>
    </xf>
    <xf numFmtId="0" fontId="0" fillId="2" borderId="0" xfId="0" applyFont="1" applyFill="1" applyBorder="1"/>
    <xf numFmtId="0" fontId="19" fillId="4" borderId="17" xfId="0" applyFont="1" applyFill="1" applyBorder="1"/>
    <xf numFmtId="0" fontId="22" fillId="4" borderId="0" xfId="0" applyFont="1" applyFill="1" applyProtection="1">
      <protection hidden="1"/>
    </xf>
    <xf numFmtId="10" fontId="16" fillId="7" borderId="0" xfId="1" applyNumberFormat="1" applyFont="1" applyFill="1" applyProtection="1">
      <protection hidden="1"/>
    </xf>
    <xf numFmtId="0" fontId="3" fillId="2" borderId="0" xfId="0" applyFont="1" applyFill="1" applyBorder="1" applyAlignment="1" applyProtection="1">
      <alignment horizontal="center"/>
      <protection hidden="1"/>
    </xf>
    <xf numFmtId="0" fontId="31" fillId="2" borderId="0" xfId="0" applyFont="1" applyFill="1" applyBorder="1" applyProtection="1">
      <protection hidden="1"/>
    </xf>
    <xf numFmtId="0" fontId="32" fillId="2" borderId="0" xfId="0" applyFont="1" applyFill="1" applyBorder="1" applyAlignment="1" applyProtection="1">
      <alignment horizontal="center"/>
      <protection hidden="1"/>
    </xf>
    <xf numFmtId="0" fontId="31" fillId="2" borderId="0" xfId="0" applyFont="1" applyFill="1" applyBorder="1" applyAlignment="1" applyProtection="1">
      <alignment wrapText="1"/>
      <protection hidden="1"/>
    </xf>
    <xf numFmtId="0" fontId="32" fillId="2" borderId="0" xfId="0" applyFont="1" applyFill="1" applyBorder="1" applyAlignment="1" applyProtection="1">
      <alignment horizontal="center" wrapText="1"/>
      <protection hidden="1"/>
    </xf>
    <xf numFmtId="0" fontId="30" fillId="31" borderId="0" xfId="0" applyFont="1" applyFill="1" applyBorder="1" applyAlignment="1" applyProtection="1">
      <alignment horizontal="center" wrapText="1"/>
      <protection hidden="1"/>
    </xf>
    <xf numFmtId="0" fontId="16" fillId="2" borderId="0" xfId="0" applyFont="1" applyFill="1" applyBorder="1" applyAlignment="1" applyProtection="1">
      <alignment horizontal="center"/>
      <protection hidden="1"/>
    </xf>
    <xf numFmtId="0" fontId="6" fillId="2" borderId="0" xfId="0" applyFont="1" applyFill="1" applyBorder="1" applyAlignment="1" applyProtection="1">
      <alignment horizontal="center" wrapText="1"/>
      <protection hidden="1"/>
    </xf>
    <xf numFmtId="0" fontId="17" fillId="4" borderId="0" xfId="0" applyFont="1" applyFill="1" applyBorder="1" applyAlignment="1" applyProtection="1">
      <alignment horizontal="center"/>
      <protection hidden="1"/>
    </xf>
    <xf numFmtId="0" fontId="31" fillId="4" borderId="0" xfId="0" applyFont="1" applyFill="1" applyBorder="1" applyProtection="1">
      <protection hidden="1"/>
    </xf>
    <xf numFmtId="0" fontId="32" fillId="4" borderId="0" xfId="0" applyFont="1" applyFill="1" applyBorder="1" applyAlignment="1" applyProtection="1">
      <alignment horizontal="center"/>
      <protection hidden="1"/>
    </xf>
    <xf numFmtId="9" fontId="0" fillId="4" borderId="0" xfId="0" applyNumberFormat="1" applyFill="1" applyBorder="1" applyProtection="1">
      <protection hidden="1"/>
    </xf>
    <xf numFmtId="0" fontId="17" fillId="14" borderId="0" xfId="0" applyFont="1" applyFill="1" applyBorder="1" applyAlignment="1" applyProtection="1">
      <alignment horizontal="center"/>
      <protection hidden="1"/>
    </xf>
    <xf numFmtId="0" fontId="32" fillId="14" borderId="0" xfId="0" applyFont="1" applyFill="1" applyBorder="1" applyAlignment="1" applyProtection="1">
      <alignment horizontal="center"/>
      <protection hidden="1"/>
    </xf>
    <xf numFmtId="9" fontId="0" fillId="14" borderId="0" xfId="0" applyNumberFormat="1" applyFill="1" applyBorder="1" applyProtection="1">
      <protection hidden="1"/>
    </xf>
    <xf numFmtId="0" fontId="16" fillId="14" borderId="0" xfId="3" applyFont="1" applyFill="1" applyBorder="1" applyAlignment="1" applyProtection="1">
      <alignment horizontal="right" vertical="center" wrapText="1"/>
      <protection hidden="1"/>
    </xf>
    <xf numFmtId="9" fontId="15" fillId="14" borderId="0" xfId="0" applyNumberFormat="1" applyFont="1" applyFill="1" applyBorder="1" applyAlignment="1" applyProtection="1">
      <alignment horizontal="center" wrapText="1"/>
      <protection hidden="1"/>
    </xf>
    <xf numFmtId="0" fontId="15" fillId="14" borderId="0" xfId="0" applyFont="1" applyFill="1" applyBorder="1" applyAlignment="1" applyProtection="1">
      <alignment horizontal="center" wrapText="1"/>
      <protection hidden="1"/>
    </xf>
    <xf numFmtId="0" fontId="33" fillId="40" borderId="0" xfId="0" applyFont="1" applyFill="1" applyBorder="1" applyAlignment="1" applyProtection="1">
      <alignment horizontal="center" wrapText="1"/>
      <protection hidden="1"/>
    </xf>
    <xf numFmtId="0" fontId="32" fillId="14" borderId="0" xfId="0" applyFont="1" applyFill="1" applyBorder="1" applyAlignment="1" applyProtection="1">
      <alignment horizontal="center" wrapText="1"/>
      <protection hidden="1"/>
    </xf>
    <xf numFmtId="0" fontId="30" fillId="40" borderId="0" xfId="0" applyFont="1" applyFill="1" applyBorder="1" applyAlignment="1" applyProtection="1">
      <alignment wrapText="1"/>
      <protection hidden="1"/>
    </xf>
    <xf numFmtId="0" fontId="0" fillId="14" borderId="0" xfId="0" applyFill="1" applyBorder="1" applyProtection="1">
      <protection hidden="1"/>
    </xf>
    <xf numFmtId="0" fontId="16" fillId="14" borderId="0" xfId="0" applyFont="1" applyFill="1" applyBorder="1" applyAlignment="1" applyProtection="1">
      <alignment horizontal="center"/>
      <protection hidden="1"/>
    </xf>
    <xf numFmtId="0" fontId="32" fillId="14" borderId="0" xfId="0" applyFont="1" applyFill="1" applyBorder="1" applyProtection="1">
      <protection hidden="1"/>
    </xf>
    <xf numFmtId="0" fontId="6" fillId="14" borderId="0" xfId="0" applyFont="1" applyFill="1" applyBorder="1" applyAlignment="1" applyProtection="1">
      <alignment horizontal="center" wrapText="1"/>
      <protection hidden="1"/>
    </xf>
    <xf numFmtId="0" fontId="32" fillId="14" borderId="0" xfId="0" applyFont="1" applyFill="1" applyBorder="1" applyAlignment="1" applyProtection="1">
      <alignment wrapText="1"/>
      <protection hidden="1"/>
    </xf>
    <xf numFmtId="0" fontId="16" fillId="14" borderId="0" xfId="0" applyFont="1" applyFill="1" applyBorder="1" applyProtection="1">
      <protection hidden="1"/>
    </xf>
    <xf numFmtId="0" fontId="98" fillId="14" borderId="0" xfId="0" applyFont="1" applyFill="1" applyBorder="1" applyAlignment="1" applyProtection="1">
      <alignment horizontal="center"/>
      <protection hidden="1"/>
    </xf>
    <xf numFmtId="0" fontId="98" fillId="14" borderId="0" xfId="0" applyFont="1" applyFill="1" applyBorder="1" applyAlignment="1" applyProtection="1">
      <alignment horizontal="center" wrapText="1"/>
      <protection hidden="1"/>
    </xf>
    <xf numFmtId="0" fontId="11" fillId="14" borderId="0" xfId="0" applyFont="1" applyFill="1" applyBorder="1" applyAlignment="1" applyProtection="1">
      <alignment horizontal="center"/>
      <protection hidden="1"/>
    </xf>
    <xf numFmtId="0" fontId="17" fillId="14" borderId="0" xfId="0" applyFont="1" applyFill="1" applyBorder="1" applyAlignment="1" applyProtection="1">
      <alignment horizontal="left" wrapText="1"/>
      <protection hidden="1"/>
    </xf>
    <xf numFmtId="0" fontId="34" fillId="14" borderId="0" xfId="0" applyFont="1" applyFill="1" applyBorder="1" applyAlignment="1" applyProtection="1">
      <alignment horizontal="left"/>
      <protection hidden="1"/>
    </xf>
    <xf numFmtId="0" fontId="15" fillId="4" borderId="0" xfId="0" applyFont="1" applyFill="1" applyProtection="1">
      <protection hidden="1"/>
    </xf>
    <xf numFmtId="0" fontId="6" fillId="9" borderId="0" xfId="0" applyFont="1" applyFill="1" applyAlignment="1" applyProtection="1">
      <alignment horizontal="right"/>
      <protection hidden="1"/>
    </xf>
    <xf numFmtId="0" fontId="41" fillId="40" borderId="0" xfId="0" applyFont="1" applyFill="1" applyBorder="1" applyAlignment="1" applyProtection="1">
      <alignment horizontal="center" wrapText="1"/>
      <protection hidden="1"/>
    </xf>
    <xf numFmtId="9" fontId="0" fillId="14" borderId="0" xfId="7" applyNumberFormat="1" applyFont="1" applyFill="1" applyBorder="1" applyProtection="1">
      <protection hidden="1"/>
    </xf>
    <xf numFmtId="0" fontId="100" fillId="14" borderId="0" xfId="0" applyFont="1" applyFill="1" applyBorder="1" applyAlignment="1" applyProtection="1">
      <alignment horizontal="center"/>
      <protection hidden="1"/>
    </xf>
    <xf numFmtId="0" fontId="100" fillId="14" borderId="0" xfId="0" applyFont="1" applyFill="1" applyBorder="1" applyAlignment="1" applyProtection="1">
      <alignment horizontal="center" wrapText="1"/>
      <protection hidden="1"/>
    </xf>
    <xf numFmtId="0" fontId="6" fillId="14" borderId="0" xfId="0" applyFont="1" applyFill="1" applyBorder="1" applyAlignment="1" applyProtection="1">
      <alignment horizontal="center"/>
      <protection hidden="1"/>
    </xf>
    <xf numFmtId="0" fontId="6" fillId="14" borderId="0" xfId="0" applyFont="1" applyFill="1" applyBorder="1" applyProtection="1">
      <protection hidden="1"/>
    </xf>
    <xf numFmtId="164" fontId="1" fillId="14" borderId="0" xfId="7" applyFont="1" applyFill="1" applyBorder="1" applyProtection="1">
      <protection hidden="1"/>
    </xf>
    <xf numFmtId="164" fontId="6" fillId="14" borderId="0" xfId="7" applyFont="1" applyFill="1" applyBorder="1" applyAlignment="1" applyProtection="1">
      <alignment horizontal="center" wrapText="1"/>
      <protection hidden="1"/>
    </xf>
    <xf numFmtId="0" fontId="17" fillId="10" borderId="0" xfId="0" applyFont="1" applyFill="1" applyBorder="1" applyAlignment="1" applyProtection="1">
      <alignment horizontal="center"/>
      <protection hidden="1"/>
    </xf>
    <xf numFmtId="9" fontId="17" fillId="10" borderId="0" xfId="0" applyNumberFormat="1" applyFont="1" applyFill="1" applyBorder="1" applyAlignment="1" applyProtection="1">
      <alignment horizontal="right"/>
      <protection hidden="1"/>
    </xf>
    <xf numFmtId="0" fontId="0" fillId="10" borderId="0" xfId="0" applyFill="1" applyBorder="1" applyAlignment="1" applyProtection="1">
      <alignment horizontal="left"/>
      <protection hidden="1"/>
    </xf>
    <xf numFmtId="0" fontId="16" fillId="10" borderId="0" xfId="0" applyFont="1" applyFill="1" applyBorder="1" applyAlignment="1" applyProtection="1">
      <alignment horizontal="center"/>
      <protection hidden="1"/>
    </xf>
    <xf numFmtId="164" fontId="1" fillId="10" borderId="0" xfId="7" applyFont="1" applyFill="1" applyBorder="1" applyProtection="1">
      <protection hidden="1"/>
    </xf>
    <xf numFmtId="0" fontId="5" fillId="4" borderId="0" xfId="0" applyFont="1" applyFill="1" applyBorder="1" applyProtection="1">
      <protection hidden="1"/>
    </xf>
    <xf numFmtId="9" fontId="11" fillId="7" borderId="0" xfId="7" applyNumberFormat="1" applyFont="1" applyFill="1" applyBorder="1" applyAlignment="1" applyProtection="1">
      <alignment horizontal="center" wrapText="1"/>
      <protection hidden="1"/>
    </xf>
    <xf numFmtId="9" fontId="11" fillId="7" borderId="0" xfId="7" applyNumberFormat="1" applyFont="1" applyFill="1" applyBorder="1" applyAlignment="1" applyProtection="1">
      <alignment horizontal="center" vertical="top" wrapText="1"/>
      <protection hidden="1"/>
    </xf>
    <xf numFmtId="0" fontId="3" fillId="4" borderId="0" xfId="0" applyFont="1" applyFill="1" applyBorder="1" applyAlignment="1" applyProtection="1">
      <alignment horizontal="center" vertical="top" wrapText="1"/>
      <protection hidden="1"/>
    </xf>
    <xf numFmtId="164" fontId="16" fillId="10" borderId="0" xfId="0" applyNumberFormat="1" applyFont="1" applyFill="1" applyBorder="1" applyProtection="1">
      <protection hidden="1"/>
    </xf>
    <xf numFmtId="9" fontId="6" fillId="14" borderId="0" xfId="0" applyNumberFormat="1" applyFont="1" applyFill="1" applyBorder="1" applyProtection="1">
      <protection hidden="1"/>
    </xf>
    <xf numFmtId="0" fontId="32" fillId="4" borderId="0" xfId="0" applyFont="1" applyFill="1" applyBorder="1" applyAlignment="1" applyProtection="1">
      <protection hidden="1"/>
    </xf>
    <xf numFmtId="2" fontId="22" fillId="4" borderId="0" xfId="7" applyNumberFormat="1" applyFont="1" applyFill="1" applyBorder="1" applyProtection="1">
      <protection hidden="1"/>
    </xf>
    <xf numFmtId="0" fontId="0" fillId="4" borderId="0" xfId="0" applyFont="1" applyFill="1" applyBorder="1" applyAlignment="1" applyProtection="1">
      <protection hidden="1"/>
    </xf>
    <xf numFmtId="0" fontId="67" fillId="4" borderId="0" xfId="0" applyFont="1" applyFill="1" applyBorder="1" applyAlignment="1" applyProtection="1">
      <protection hidden="1"/>
    </xf>
    <xf numFmtId="0" fontId="67" fillId="4" borderId="0" xfId="0" applyFont="1" applyFill="1" applyBorder="1" applyAlignment="1" applyProtection="1">
      <alignment horizontal="right"/>
      <protection hidden="1"/>
    </xf>
    <xf numFmtId="164" fontId="16" fillId="10" borderId="0" xfId="0" applyNumberFormat="1" applyFont="1" applyFill="1" applyBorder="1" applyAlignment="1" applyProtection="1">
      <protection hidden="1"/>
    </xf>
    <xf numFmtId="9" fontId="16" fillId="14" borderId="0" xfId="1" applyFont="1" applyFill="1" applyBorder="1" applyAlignment="1" applyProtection="1">
      <alignment horizontal="center"/>
      <protection hidden="1"/>
    </xf>
    <xf numFmtId="9" fontId="6" fillId="14" borderId="0" xfId="1" applyFont="1" applyFill="1" applyBorder="1" applyAlignment="1" applyProtection="1">
      <alignment horizontal="center" wrapText="1"/>
      <protection hidden="1"/>
    </xf>
    <xf numFmtId="9" fontId="6" fillId="10" borderId="0" xfId="1" applyFont="1" applyFill="1" applyBorder="1" applyAlignment="1" applyProtection="1">
      <alignment horizontal="center"/>
      <protection hidden="1"/>
    </xf>
    <xf numFmtId="0" fontId="12" fillId="10" borderId="0" xfId="0" applyFont="1" applyFill="1" applyProtection="1">
      <protection hidden="1"/>
    </xf>
    <xf numFmtId="0" fontId="101" fillId="10" borderId="0" xfId="0" applyFont="1" applyFill="1" applyProtection="1">
      <protection hidden="1"/>
    </xf>
    <xf numFmtId="0" fontId="101" fillId="7" borderId="0" xfId="0" applyFont="1" applyFill="1" applyProtection="1">
      <protection hidden="1"/>
    </xf>
    <xf numFmtId="0" fontId="102" fillId="18" borderId="0" xfId="0" applyFont="1" applyFill="1" applyProtection="1">
      <protection hidden="1"/>
    </xf>
    <xf numFmtId="0" fontId="102" fillId="12" borderId="0" xfId="0" applyFont="1" applyFill="1" applyProtection="1">
      <protection hidden="1"/>
    </xf>
    <xf numFmtId="0" fontId="103" fillId="29" borderId="0" xfId="0" applyFont="1" applyFill="1" applyBorder="1" applyAlignment="1" applyProtection="1">
      <alignment horizontal="left" vertical="center"/>
      <protection hidden="1"/>
    </xf>
    <xf numFmtId="0" fontId="104" fillId="17" borderId="0" xfId="0" applyFont="1" applyFill="1" applyProtection="1">
      <protection hidden="1"/>
    </xf>
    <xf numFmtId="0" fontId="102" fillId="15" borderId="0" xfId="0" applyFont="1" applyFill="1" applyProtection="1">
      <protection hidden="1"/>
    </xf>
    <xf numFmtId="0" fontId="105" fillId="4" borderId="0" xfId="0" applyFont="1" applyFill="1" applyProtection="1">
      <protection hidden="1"/>
    </xf>
    <xf numFmtId="0" fontId="4" fillId="14" borderId="0" xfId="0" applyFont="1" applyFill="1" applyProtection="1">
      <protection hidden="1"/>
    </xf>
    <xf numFmtId="0" fontId="4" fillId="14" borderId="0" xfId="0" applyFont="1" applyFill="1" applyBorder="1" applyProtection="1">
      <protection hidden="1"/>
    </xf>
    <xf numFmtId="0" fontId="0" fillId="14" borderId="0" xfId="0" applyFill="1" applyProtection="1">
      <protection hidden="1"/>
    </xf>
    <xf numFmtId="0" fontId="106" fillId="18" borderId="0" xfId="0" applyFont="1" applyFill="1" applyBorder="1" applyAlignment="1" applyProtection="1">
      <alignment horizontal="center"/>
      <protection hidden="1"/>
    </xf>
    <xf numFmtId="10" fontId="0" fillId="14" borderId="0" xfId="1" applyNumberFormat="1" applyFont="1" applyFill="1" applyProtection="1">
      <protection hidden="1"/>
    </xf>
    <xf numFmtId="164" fontId="0" fillId="9" borderId="0" xfId="0" applyNumberFormat="1" applyFill="1" applyBorder="1" applyProtection="1">
      <protection hidden="1"/>
    </xf>
    <xf numFmtId="2" fontId="0" fillId="9" borderId="0" xfId="0" applyNumberFormat="1" applyFill="1" applyBorder="1" applyAlignment="1" applyProtection="1">
      <alignment vertical="center" wrapText="1"/>
      <protection hidden="1"/>
    </xf>
    <xf numFmtId="0" fontId="3" fillId="4" borderId="0" xfId="0" applyFont="1" applyFill="1" applyAlignment="1" applyProtection="1">
      <alignment wrapText="1"/>
      <protection hidden="1"/>
    </xf>
    <xf numFmtId="0" fontId="17" fillId="18" borderId="0" xfId="0" applyFont="1" applyFill="1" applyBorder="1" applyAlignment="1" applyProtection="1">
      <alignment horizontal="center"/>
      <protection hidden="1"/>
    </xf>
    <xf numFmtId="0" fontId="0" fillId="18" borderId="0" xfId="0" applyFill="1" applyBorder="1" applyProtection="1">
      <protection hidden="1"/>
    </xf>
    <xf numFmtId="9" fontId="0" fillId="18" borderId="0" xfId="0" applyNumberFormat="1" applyFill="1" applyBorder="1" applyProtection="1">
      <protection hidden="1"/>
    </xf>
    <xf numFmtId="0" fontId="33" fillId="27" borderId="0" xfId="0" applyFont="1" applyFill="1" applyBorder="1" applyAlignment="1" applyProtection="1">
      <alignment horizontal="center" wrapText="1"/>
      <protection hidden="1"/>
    </xf>
    <xf numFmtId="0" fontId="17" fillId="14" borderId="0" xfId="0" applyFont="1" applyFill="1" applyBorder="1" applyProtection="1">
      <protection hidden="1"/>
    </xf>
    <xf numFmtId="164" fontId="4" fillId="2" borderId="20" xfId="7" applyFont="1" applyFill="1" applyBorder="1" applyAlignment="1" applyProtection="1">
      <alignment vertical="center" wrapText="1"/>
      <protection hidden="1"/>
    </xf>
    <xf numFmtId="0" fontId="0" fillId="2" borderId="0" xfId="0" applyFill="1" applyBorder="1" applyAlignment="1" applyProtection="1">
      <alignment wrapText="1"/>
      <protection hidden="1"/>
    </xf>
    <xf numFmtId="0" fontId="5" fillId="4" borderId="0" xfId="0" applyFont="1" applyFill="1" applyBorder="1" applyAlignment="1" applyProtection="1">
      <alignment wrapText="1"/>
      <protection hidden="1"/>
    </xf>
    <xf numFmtId="0" fontId="3" fillId="2" borderId="0" xfId="0" applyFont="1" applyFill="1" applyBorder="1" applyProtection="1">
      <protection hidden="1"/>
    </xf>
    <xf numFmtId="0" fontId="3" fillId="4" borderId="0" xfId="3" applyFont="1" applyFill="1" applyBorder="1" applyAlignment="1" applyProtection="1">
      <alignment horizontal="right" vertical="center" wrapText="1"/>
      <protection hidden="1"/>
    </xf>
    <xf numFmtId="0" fontId="0" fillId="18" borderId="0" xfId="0" applyFill="1" applyBorder="1" applyAlignment="1" applyProtection="1">
      <alignment horizontal="left"/>
      <protection hidden="1"/>
    </xf>
    <xf numFmtId="0" fontId="17" fillId="14" borderId="0" xfId="0" applyFont="1" applyFill="1" applyBorder="1" applyAlignment="1" applyProtection="1">
      <alignment horizontal="center" vertical="center"/>
      <protection hidden="1"/>
    </xf>
    <xf numFmtId="0" fontId="17" fillId="18" borderId="0" xfId="0" applyFont="1" applyFill="1" applyBorder="1" applyAlignment="1" applyProtection="1">
      <alignment horizontal="center" vertical="center"/>
      <protection hidden="1"/>
    </xf>
    <xf numFmtId="9" fontId="0" fillId="18" borderId="0" xfId="7" applyNumberFormat="1" applyFont="1" applyFill="1" applyBorder="1" applyProtection="1">
      <protection hidden="1"/>
    </xf>
    <xf numFmtId="164" fontId="6" fillId="18" borderId="0" xfId="7" applyFont="1" applyFill="1" applyBorder="1" applyAlignment="1" applyProtection="1">
      <alignment horizontal="center" wrapText="1"/>
      <protection hidden="1"/>
    </xf>
    <xf numFmtId="0" fontId="16" fillId="2" borderId="0" xfId="3" applyFont="1" applyFill="1" applyBorder="1" applyAlignment="1" applyProtection="1">
      <alignment horizontal="left" vertical="center" wrapText="1"/>
      <protection hidden="1"/>
    </xf>
    <xf numFmtId="9" fontId="99" fillId="7" borderId="0" xfId="7" applyNumberFormat="1" applyFont="1" applyFill="1" applyBorder="1" applyProtection="1">
      <protection hidden="1"/>
    </xf>
    <xf numFmtId="10" fontId="99" fillId="7" borderId="0" xfId="1" applyNumberFormat="1" applyFont="1" applyFill="1" applyBorder="1" applyProtection="1">
      <protection hidden="1"/>
    </xf>
    <xf numFmtId="0" fontId="3" fillId="4" borderId="0" xfId="0" applyFont="1" applyFill="1" applyBorder="1" applyAlignment="1" applyProtection="1">
      <alignment horizontal="right"/>
      <protection hidden="1"/>
    </xf>
    <xf numFmtId="2" fontId="4" fillId="14" borderId="0" xfId="0" applyNumberFormat="1" applyFont="1" applyFill="1" applyBorder="1" applyAlignment="1" applyProtection="1">
      <alignment vertical="center" wrapText="1"/>
      <protection hidden="1"/>
    </xf>
    <xf numFmtId="0" fontId="4" fillId="14" borderId="0" xfId="0" applyFont="1" applyFill="1" applyBorder="1" applyAlignment="1" applyProtection="1">
      <alignment horizontal="right"/>
      <protection hidden="1"/>
    </xf>
    <xf numFmtId="169" fontId="6" fillId="14" borderId="0" xfId="1" applyNumberFormat="1" applyFont="1" applyFill="1" applyBorder="1" applyAlignment="1" applyProtection="1">
      <alignment horizontal="center" wrapText="1"/>
      <protection hidden="1"/>
    </xf>
    <xf numFmtId="168" fontId="6" fillId="14" borderId="0" xfId="1" applyNumberFormat="1" applyFont="1" applyFill="1" applyBorder="1" applyAlignment="1" applyProtection="1">
      <alignment horizontal="center" wrapText="1"/>
      <protection hidden="1"/>
    </xf>
    <xf numFmtId="9" fontId="6" fillId="14" borderId="0" xfId="1" applyNumberFormat="1" applyFont="1" applyFill="1" applyBorder="1" applyAlignment="1" applyProtection="1">
      <alignment horizontal="center" wrapText="1"/>
      <protection hidden="1"/>
    </xf>
    <xf numFmtId="2" fontId="4" fillId="9" borderId="68" xfId="7" applyNumberFormat="1" applyFont="1" applyFill="1" applyBorder="1" applyAlignment="1" applyProtection="1">
      <alignment vertical="center" wrapText="1"/>
      <protection hidden="1"/>
    </xf>
    <xf numFmtId="0" fontId="17" fillId="12" borderId="0" xfId="0" applyFont="1" applyFill="1" applyBorder="1" applyAlignment="1" applyProtection="1">
      <alignment horizontal="center"/>
      <protection hidden="1"/>
    </xf>
    <xf numFmtId="9" fontId="16" fillId="12" borderId="0" xfId="0" applyNumberFormat="1" applyFont="1" applyFill="1" applyBorder="1" applyProtection="1">
      <protection hidden="1"/>
    </xf>
    <xf numFmtId="164" fontId="16" fillId="12" borderId="0" xfId="7" applyFont="1" applyFill="1" applyBorder="1" applyProtection="1">
      <protection hidden="1"/>
    </xf>
    <xf numFmtId="9" fontId="31" fillId="18" borderId="0" xfId="0" applyNumberFormat="1" applyFont="1" applyFill="1" applyBorder="1" applyAlignment="1" applyProtection="1">
      <alignment horizontal="center"/>
      <protection hidden="1"/>
    </xf>
    <xf numFmtId="9" fontId="17" fillId="18" borderId="0" xfId="0" applyNumberFormat="1" applyFont="1" applyFill="1" applyBorder="1" applyAlignment="1" applyProtection="1">
      <alignment horizontal="center"/>
      <protection hidden="1"/>
    </xf>
    <xf numFmtId="164" fontId="4" fillId="18" borderId="0" xfId="0" applyNumberFormat="1" applyFont="1" applyFill="1" applyBorder="1" applyProtection="1">
      <protection hidden="1"/>
    </xf>
    <xf numFmtId="164" fontId="3" fillId="2" borderId="0" xfId="7" applyFont="1" applyFill="1" applyBorder="1" applyProtection="1">
      <protection hidden="1"/>
    </xf>
    <xf numFmtId="0" fontId="17" fillId="15" borderId="0" xfId="0" applyFont="1" applyFill="1" applyBorder="1" applyAlignment="1" applyProtection="1">
      <alignment horizontal="center"/>
      <protection hidden="1"/>
    </xf>
    <xf numFmtId="0" fontId="31" fillId="15" borderId="0" xfId="0" applyFont="1" applyFill="1" applyBorder="1" applyProtection="1">
      <protection hidden="1"/>
    </xf>
    <xf numFmtId="0" fontId="32" fillId="15" borderId="0" xfId="0" applyFont="1" applyFill="1" applyBorder="1" applyAlignment="1" applyProtection="1">
      <alignment horizontal="center"/>
      <protection hidden="1"/>
    </xf>
    <xf numFmtId="0" fontId="32" fillId="15" borderId="0" xfId="0" applyFont="1" applyFill="1" applyBorder="1" applyAlignment="1" applyProtection="1">
      <alignment horizontal="center" wrapText="1"/>
      <protection hidden="1"/>
    </xf>
    <xf numFmtId="9" fontId="16" fillId="14" borderId="0" xfId="0" applyNumberFormat="1" applyFont="1" applyFill="1" applyBorder="1" applyProtection="1">
      <protection hidden="1"/>
    </xf>
    <xf numFmtId="164" fontId="16" fillId="14" borderId="0" xfId="7" applyFont="1" applyFill="1" applyBorder="1" applyProtection="1">
      <protection hidden="1"/>
    </xf>
    <xf numFmtId="9" fontId="4" fillId="14" borderId="0" xfId="0" applyNumberFormat="1" applyFont="1" applyFill="1" applyBorder="1" applyProtection="1">
      <protection hidden="1"/>
    </xf>
    <xf numFmtId="0" fontId="15" fillId="14" borderId="0" xfId="0" applyFont="1" applyFill="1" applyBorder="1" applyProtection="1">
      <protection hidden="1"/>
    </xf>
    <xf numFmtId="164" fontId="0" fillId="14" borderId="0" xfId="7" applyFont="1" applyFill="1" applyBorder="1" applyProtection="1">
      <protection hidden="1"/>
    </xf>
    <xf numFmtId="0" fontId="3" fillId="4" borderId="30" xfId="0" applyFont="1" applyFill="1" applyBorder="1" applyAlignment="1" applyProtection="1">
      <protection hidden="1"/>
    </xf>
    <xf numFmtId="0" fontId="4" fillId="4" borderId="0" xfId="0" applyFont="1" applyFill="1" applyBorder="1" applyAlignment="1" applyProtection="1">
      <protection hidden="1"/>
    </xf>
    <xf numFmtId="0" fontId="4" fillId="2" borderId="28" xfId="0" applyFont="1" applyFill="1" applyBorder="1" applyAlignment="1" applyProtection="1">
      <protection hidden="1"/>
    </xf>
    <xf numFmtId="0" fontId="4" fillId="2" borderId="0" xfId="0" applyFont="1" applyFill="1" applyBorder="1" applyAlignment="1" applyProtection="1">
      <alignment horizontal="left"/>
      <protection hidden="1"/>
    </xf>
    <xf numFmtId="0" fontId="3" fillId="14" borderId="0" xfId="0" applyFont="1" applyFill="1" applyBorder="1" applyAlignment="1" applyProtection="1">
      <alignment horizontal="center"/>
      <protection hidden="1"/>
    </xf>
    <xf numFmtId="0" fontId="31" fillId="14" borderId="0" xfId="0" applyFont="1" applyFill="1" applyBorder="1" applyAlignment="1" applyProtection="1">
      <alignment horizontal="center"/>
      <protection hidden="1"/>
    </xf>
    <xf numFmtId="0" fontId="31" fillId="14" borderId="0" xfId="0" applyFont="1" applyFill="1" applyBorder="1" applyProtection="1">
      <protection hidden="1"/>
    </xf>
    <xf numFmtId="0" fontId="30" fillId="40" borderId="0" xfId="0" applyFont="1" applyFill="1" applyBorder="1" applyAlignment="1" applyProtection="1">
      <alignment horizontal="center" wrapText="1"/>
      <protection hidden="1"/>
    </xf>
    <xf numFmtId="2" fontId="22" fillId="14" borderId="0" xfId="7" applyNumberFormat="1" applyFont="1" applyFill="1" applyBorder="1" applyProtection="1">
      <protection hidden="1"/>
    </xf>
    <xf numFmtId="0" fontId="4" fillId="14" borderId="0" xfId="0" applyFont="1" applyFill="1" applyBorder="1" applyAlignment="1" applyProtection="1">
      <protection hidden="1"/>
    </xf>
    <xf numFmtId="0" fontId="16" fillId="22" borderId="0" xfId="3" applyFont="1" applyFill="1" applyBorder="1" applyAlignment="1" applyProtection="1">
      <alignment horizontal="right" vertical="center" wrapText="1"/>
      <protection hidden="1"/>
    </xf>
    <xf numFmtId="0" fontId="31" fillId="22" borderId="0" xfId="0" applyFont="1" applyFill="1" applyBorder="1" applyAlignment="1" applyProtection="1">
      <alignment horizontal="center"/>
      <protection hidden="1"/>
    </xf>
    <xf numFmtId="0" fontId="32" fillId="22" borderId="0" xfId="0" applyFont="1" applyFill="1" applyBorder="1" applyAlignment="1" applyProtection="1">
      <alignment horizontal="center"/>
      <protection hidden="1"/>
    </xf>
    <xf numFmtId="0" fontId="0" fillId="22" borderId="0" xfId="0" applyFill="1" applyBorder="1" applyAlignment="1" applyProtection="1">
      <alignment horizontal="left"/>
      <protection hidden="1"/>
    </xf>
    <xf numFmtId="0" fontId="31" fillId="22" borderId="0" xfId="0" applyFont="1" applyFill="1" applyBorder="1" applyProtection="1">
      <protection hidden="1"/>
    </xf>
    <xf numFmtId="0" fontId="4" fillId="22" borderId="0" xfId="0" applyFont="1" applyFill="1" applyBorder="1" applyProtection="1">
      <protection hidden="1"/>
    </xf>
    <xf numFmtId="0" fontId="17" fillId="33" borderId="0" xfId="0" applyFont="1" applyFill="1" applyBorder="1" applyProtection="1">
      <protection hidden="1"/>
    </xf>
    <xf numFmtId="0" fontId="0" fillId="33" borderId="0" xfId="0" applyFill="1" applyBorder="1" applyProtection="1">
      <protection hidden="1"/>
    </xf>
    <xf numFmtId="0" fontId="31" fillId="15" borderId="0" xfId="0" applyFont="1" applyFill="1" applyBorder="1" applyAlignment="1" applyProtection="1">
      <alignment horizontal="center"/>
      <protection hidden="1"/>
    </xf>
    <xf numFmtId="0" fontId="3" fillId="4" borderId="18" xfId="0" applyFont="1" applyFill="1" applyBorder="1" applyAlignment="1" applyProtection="1">
      <protection hidden="1"/>
    </xf>
    <xf numFmtId="2" fontId="16" fillId="4" borderId="51" xfId="0" applyNumberFormat="1" applyFont="1" applyFill="1" applyBorder="1" applyAlignment="1" applyProtection="1">
      <alignment vertical="center" wrapText="1"/>
      <protection hidden="1"/>
    </xf>
    <xf numFmtId="9" fontId="16" fillId="12" borderId="0" xfId="0" applyNumberFormat="1" applyFont="1" applyFill="1" applyBorder="1" applyAlignment="1" applyProtection="1">
      <alignment horizontal="center"/>
      <protection hidden="1"/>
    </xf>
    <xf numFmtId="9" fontId="0" fillId="14" borderId="0" xfId="0" applyNumberFormat="1" applyFont="1" applyFill="1" applyBorder="1" applyProtection="1">
      <protection hidden="1"/>
    </xf>
    <xf numFmtId="0" fontId="16" fillId="33" borderId="0" xfId="0" applyFont="1" applyFill="1" applyBorder="1" applyProtection="1">
      <protection hidden="1"/>
    </xf>
    <xf numFmtId="0" fontId="6" fillId="33" borderId="0" xfId="0" applyFont="1" applyFill="1" applyBorder="1" applyProtection="1">
      <protection hidden="1"/>
    </xf>
    <xf numFmtId="0" fontId="4" fillId="33" borderId="0" xfId="0" applyFont="1" applyFill="1" applyBorder="1" applyProtection="1">
      <protection hidden="1"/>
    </xf>
    <xf numFmtId="9" fontId="16" fillId="7" borderId="0" xfId="0" applyNumberFormat="1" applyFont="1" applyFill="1" applyBorder="1" applyAlignment="1" applyProtection="1">
      <alignment horizontal="center" wrapText="1"/>
      <protection hidden="1"/>
    </xf>
    <xf numFmtId="0" fontId="17" fillId="14" borderId="0" xfId="0" applyFont="1" applyFill="1" applyBorder="1" applyAlignment="1" applyProtection="1">
      <alignment horizontal="left"/>
      <protection hidden="1"/>
    </xf>
    <xf numFmtId="9" fontId="32" fillId="14" borderId="0" xfId="1" applyFont="1" applyFill="1" applyBorder="1" applyAlignment="1" applyProtection="1">
      <alignment horizontal="center"/>
      <protection hidden="1"/>
    </xf>
    <xf numFmtId="9" fontId="4" fillId="15" borderId="0" xfId="1" applyFont="1" applyFill="1" applyBorder="1" applyAlignment="1" applyProtection="1">
      <alignment horizontal="center"/>
      <protection hidden="1"/>
    </xf>
    <xf numFmtId="9" fontId="32" fillId="14" borderId="0" xfId="1" applyFont="1" applyFill="1" applyBorder="1" applyAlignment="1" applyProtection="1">
      <alignment horizontal="center" wrapText="1"/>
      <protection hidden="1"/>
    </xf>
    <xf numFmtId="0" fontId="16" fillId="14" borderId="0" xfId="0" applyFont="1" applyFill="1" applyBorder="1" applyAlignment="1" applyProtection="1">
      <alignment horizontal="center" wrapText="1"/>
      <protection hidden="1"/>
    </xf>
    <xf numFmtId="0" fontId="16" fillId="14" borderId="0" xfId="0" applyFont="1" applyFill="1" applyBorder="1" applyAlignment="1" applyProtection="1">
      <alignment horizontal="center" vertical="top" wrapText="1"/>
      <protection hidden="1"/>
    </xf>
    <xf numFmtId="0" fontId="107" fillId="40" borderId="0" xfId="0" applyFont="1" applyFill="1" applyBorder="1" applyAlignment="1" applyProtection="1">
      <alignment horizontal="center" wrapText="1"/>
      <protection hidden="1"/>
    </xf>
    <xf numFmtId="0" fontId="107" fillId="41" borderId="0" xfId="0" applyFont="1" applyFill="1" applyBorder="1" applyAlignment="1" applyProtection="1">
      <alignment horizontal="center" wrapText="1"/>
      <protection hidden="1"/>
    </xf>
    <xf numFmtId="164" fontId="17" fillId="22" borderId="0" xfId="0" applyNumberFormat="1" applyFont="1" applyFill="1" applyBorder="1" applyProtection="1">
      <protection hidden="1"/>
    </xf>
    <xf numFmtId="164" fontId="17" fillId="15" borderId="0" xfId="0" applyNumberFormat="1" applyFont="1" applyFill="1" applyBorder="1" applyProtection="1">
      <protection hidden="1"/>
    </xf>
    <xf numFmtId="9" fontId="4" fillId="33" borderId="0" xfId="1" applyFont="1" applyFill="1" applyBorder="1" applyProtection="1">
      <protection hidden="1"/>
    </xf>
    <xf numFmtId="0" fontId="34" fillId="14" borderId="0" xfId="0" applyFont="1" applyFill="1" applyBorder="1" applyProtection="1">
      <protection hidden="1"/>
    </xf>
    <xf numFmtId="9" fontId="32" fillId="22" borderId="0" xfId="0" applyNumberFormat="1" applyFont="1" applyFill="1" applyBorder="1" applyAlignment="1" applyProtection="1">
      <alignment horizontal="center"/>
      <protection hidden="1"/>
    </xf>
    <xf numFmtId="9" fontId="16" fillId="14" borderId="0" xfId="7" applyNumberFormat="1" applyFont="1" applyFill="1" applyBorder="1" applyProtection="1">
      <protection hidden="1"/>
    </xf>
    <xf numFmtId="9" fontId="16" fillId="14" borderId="0" xfId="0" applyNumberFormat="1" applyFont="1" applyFill="1" applyBorder="1" applyAlignment="1" applyProtection="1">
      <alignment horizontal="right"/>
      <protection hidden="1"/>
    </xf>
    <xf numFmtId="164" fontId="4" fillId="33" borderId="0" xfId="0" applyNumberFormat="1" applyFont="1" applyFill="1" applyBorder="1" applyProtection="1">
      <protection hidden="1"/>
    </xf>
    <xf numFmtId="164" fontId="16" fillId="4" borderId="68" xfId="7" applyFont="1" applyFill="1" applyBorder="1" applyAlignment="1" applyProtection="1">
      <alignment vertical="center" wrapText="1"/>
      <protection hidden="1"/>
    </xf>
    <xf numFmtId="9" fontId="16" fillId="14" borderId="0" xfId="1" applyFont="1" applyFill="1" applyBorder="1" applyAlignment="1" applyProtection="1">
      <alignment horizontal="right" wrapText="1"/>
      <protection hidden="1"/>
    </xf>
    <xf numFmtId="168" fontId="16" fillId="14" borderId="0" xfId="1" applyNumberFormat="1" applyFont="1" applyFill="1" applyBorder="1" applyAlignment="1" applyProtection="1">
      <alignment horizontal="right" wrapText="1"/>
      <protection hidden="1"/>
    </xf>
    <xf numFmtId="2" fontId="4" fillId="9" borderId="16" xfId="0" applyNumberFormat="1" applyFont="1" applyFill="1" applyBorder="1" applyAlignment="1">
      <alignment horizontal="center" vertical="center" wrapText="1"/>
    </xf>
    <xf numFmtId="0" fontId="45" fillId="12" borderId="0" xfId="0" applyFont="1" applyFill="1" applyBorder="1" applyProtection="1">
      <protection hidden="1"/>
    </xf>
    <xf numFmtId="0" fontId="106" fillId="12" borderId="0" xfId="0" applyFont="1" applyFill="1" applyBorder="1" applyProtection="1">
      <protection hidden="1"/>
    </xf>
    <xf numFmtId="0" fontId="106" fillId="12" borderId="0" xfId="0" applyFont="1" applyFill="1" applyBorder="1" applyAlignment="1" applyProtection="1">
      <alignment horizontal="center"/>
      <protection hidden="1"/>
    </xf>
    <xf numFmtId="0" fontId="12" fillId="12" borderId="0" xfId="0" applyFont="1" applyFill="1" applyProtection="1">
      <protection hidden="1"/>
    </xf>
    <xf numFmtId="0" fontId="76" fillId="29" borderId="0" xfId="0" applyFont="1" applyFill="1" applyBorder="1" applyProtection="1">
      <protection hidden="1"/>
    </xf>
    <xf numFmtId="9" fontId="76" fillId="29" borderId="0" xfId="0" applyNumberFormat="1" applyFont="1" applyFill="1" applyBorder="1" applyProtection="1">
      <protection hidden="1"/>
    </xf>
    <xf numFmtId="0" fontId="45" fillId="15" borderId="0" xfId="0" applyFont="1" applyFill="1" applyBorder="1" applyProtection="1">
      <protection hidden="1"/>
    </xf>
    <xf numFmtId="0" fontId="106" fillId="15" borderId="0" xfId="0" applyFont="1" applyFill="1" applyBorder="1" applyProtection="1">
      <protection hidden="1"/>
    </xf>
    <xf numFmtId="0" fontId="106" fillId="15" borderId="0" xfId="0" applyFont="1" applyFill="1" applyBorder="1" applyAlignment="1" applyProtection="1">
      <alignment horizontal="center"/>
      <protection hidden="1"/>
    </xf>
    <xf numFmtId="0" fontId="12" fillId="15" borderId="0" xfId="0" applyFont="1" applyFill="1" applyProtection="1">
      <protection hidden="1"/>
    </xf>
    <xf numFmtId="0" fontId="45" fillId="17" borderId="0" xfId="0" applyFont="1" applyFill="1" applyProtection="1">
      <protection hidden="1"/>
    </xf>
    <xf numFmtId="0" fontId="4" fillId="9" borderId="0" xfId="0" applyFont="1" applyFill="1" applyBorder="1" applyAlignment="1" applyProtection="1">
      <alignment horizontal="right" vertical="center" wrapText="1"/>
      <protection hidden="1"/>
    </xf>
    <xf numFmtId="0" fontId="3" fillId="2" borderId="0" xfId="0" applyFont="1" applyFill="1" applyBorder="1" applyAlignment="1" applyProtection="1">
      <alignment horizontal="right"/>
      <protection hidden="1"/>
    </xf>
    <xf numFmtId="0" fontId="3" fillId="2" borderId="0" xfId="0" applyFont="1" applyFill="1" applyBorder="1" applyAlignment="1" applyProtection="1">
      <protection hidden="1"/>
    </xf>
    <xf numFmtId="0" fontId="0" fillId="2" borderId="0" xfId="0" applyFill="1" applyBorder="1" applyAlignment="1" applyProtection="1">
      <protection hidden="1"/>
    </xf>
    <xf numFmtId="0" fontId="5" fillId="2" borderId="0" xfId="0" applyFont="1" applyFill="1" applyBorder="1" applyProtection="1">
      <protection hidden="1"/>
    </xf>
    <xf numFmtId="0" fontId="11" fillId="7" borderId="0" xfId="0" applyFont="1" applyFill="1" applyProtection="1">
      <protection hidden="1"/>
    </xf>
    <xf numFmtId="0" fontId="0" fillId="14" borderId="0" xfId="0" applyFont="1" applyFill="1" applyProtection="1">
      <protection hidden="1"/>
    </xf>
    <xf numFmtId="9" fontId="0" fillId="14" borderId="0" xfId="0" applyNumberFormat="1" applyFont="1" applyFill="1" applyProtection="1">
      <protection hidden="1"/>
    </xf>
    <xf numFmtId="10" fontId="0" fillId="14" borderId="0" xfId="0" applyNumberFormat="1" applyFont="1" applyFill="1" applyProtection="1">
      <protection hidden="1"/>
    </xf>
    <xf numFmtId="0" fontId="22" fillId="4" borderId="0" xfId="0" applyFont="1" applyFill="1" applyAlignment="1" applyProtection="1">
      <alignment horizontal="left"/>
      <protection hidden="1"/>
    </xf>
    <xf numFmtId="0" fontId="16" fillId="7" borderId="61" xfId="0" applyFont="1" applyFill="1" applyBorder="1" applyAlignment="1" applyProtection="1">
      <alignment horizontal="center"/>
      <protection hidden="1"/>
    </xf>
    <xf numFmtId="0" fontId="6" fillId="19" borderId="11" xfId="0" applyFont="1" applyFill="1" applyBorder="1" applyAlignment="1" applyProtection="1">
      <alignment vertical="top" wrapText="1"/>
      <protection hidden="1"/>
    </xf>
    <xf numFmtId="9" fontId="33" fillId="40" borderId="0" xfId="0" applyNumberFormat="1" applyFont="1" applyFill="1" applyBorder="1" applyAlignment="1" applyProtection="1">
      <alignment horizontal="center" wrapText="1"/>
      <protection hidden="1"/>
    </xf>
    <xf numFmtId="0" fontId="6" fillId="7" borderId="11" xfId="0" applyFont="1" applyFill="1" applyBorder="1" applyAlignment="1" applyProtection="1">
      <alignment wrapText="1"/>
      <protection hidden="1"/>
    </xf>
    <xf numFmtId="0" fontId="16" fillId="19" borderId="11" xfId="0" applyFont="1" applyFill="1" applyBorder="1" applyAlignment="1" applyProtection="1">
      <alignment wrapText="1"/>
      <protection hidden="1"/>
    </xf>
    <xf numFmtId="0" fontId="0" fillId="9" borderId="69" xfId="0" applyFill="1" applyBorder="1" applyProtection="1">
      <protection hidden="1"/>
    </xf>
    <xf numFmtId="0" fontId="0" fillId="9" borderId="70" xfId="0" applyFill="1" applyBorder="1" applyProtection="1">
      <protection hidden="1"/>
    </xf>
    <xf numFmtId="0" fontId="5" fillId="2" borderId="0" xfId="0" applyFont="1" applyFill="1" applyProtection="1">
      <protection hidden="1"/>
    </xf>
    <xf numFmtId="0" fontId="7" fillId="7" borderId="0" xfId="0" applyFont="1" applyFill="1" applyAlignment="1">
      <alignment horizontal="right"/>
    </xf>
    <xf numFmtId="0" fontId="7" fillId="42" borderId="0" xfId="0" applyFont="1" applyFill="1" applyAlignment="1">
      <alignment horizontal="right"/>
    </xf>
    <xf numFmtId="0" fontId="9" fillId="43" borderId="0" xfId="0" applyFont="1" applyFill="1" applyAlignment="1">
      <alignment horizontal="right"/>
    </xf>
    <xf numFmtId="0" fontId="9" fillId="44" borderId="0" xfId="0" applyFont="1" applyFill="1" applyAlignment="1">
      <alignment horizontal="right"/>
    </xf>
    <xf numFmtId="0" fontId="9" fillId="45" borderId="0" xfId="0" applyFont="1" applyFill="1" applyAlignment="1">
      <alignment horizontal="right"/>
    </xf>
    <xf numFmtId="0" fontId="7" fillId="46" borderId="0" xfId="0" applyFont="1" applyFill="1" applyAlignment="1">
      <alignment horizontal="right"/>
    </xf>
    <xf numFmtId="0" fontId="7" fillId="47" borderId="0" xfId="0" applyFont="1" applyFill="1" applyAlignment="1">
      <alignment horizontal="right"/>
    </xf>
    <xf numFmtId="0" fontId="7" fillId="48" borderId="0" xfId="0" applyFont="1" applyFill="1" applyAlignment="1">
      <alignment horizontal="right"/>
    </xf>
    <xf numFmtId="0" fontId="9" fillId="49" borderId="0" xfId="0" applyFont="1" applyFill="1" applyAlignment="1">
      <alignment horizontal="right"/>
    </xf>
    <xf numFmtId="0" fontId="44" fillId="2" borderId="0" xfId="0" applyFont="1" applyFill="1"/>
    <xf numFmtId="0" fontId="3" fillId="2" borderId="0" xfId="0" applyFont="1" applyFill="1"/>
    <xf numFmtId="0" fontId="44" fillId="2" borderId="0" xfId="0" applyFont="1" applyFill="1" applyBorder="1" applyAlignment="1">
      <alignment horizontal="center"/>
    </xf>
    <xf numFmtId="164" fontId="5" fillId="4" borderId="0" xfId="7" applyFont="1" applyFill="1" applyProtection="1">
      <protection hidden="1"/>
    </xf>
    <xf numFmtId="9" fontId="11" fillId="7" borderId="0" xfId="0" applyNumberFormat="1" applyFont="1" applyFill="1" applyProtection="1">
      <protection hidden="1"/>
    </xf>
    <xf numFmtId="0" fontId="3" fillId="4" borderId="49" xfId="0" applyFont="1" applyFill="1" applyBorder="1" applyProtection="1">
      <protection hidden="1"/>
    </xf>
    <xf numFmtId="0" fontId="3" fillId="4" borderId="50" xfId="0" applyFont="1" applyFill="1" applyBorder="1" applyProtection="1">
      <protection hidden="1"/>
    </xf>
    <xf numFmtId="0" fontId="5" fillId="4" borderId="50" xfId="0" applyFont="1" applyFill="1" applyBorder="1" applyProtection="1">
      <protection hidden="1"/>
    </xf>
    <xf numFmtId="0" fontId="5" fillId="4" borderId="71" xfId="0" applyFont="1" applyFill="1" applyBorder="1" applyProtection="1">
      <protection hidden="1"/>
    </xf>
    <xf numFmtId="0" fontId="4" fillId="10" borderId="0" xfId="0" applyFont="1" applyFill="1" applyBorder="1" applyAlignment="1" applyProtection="1">
      <alignment vertical="center" wrapText="1"/>
      <protection hidden="1"/>
    </xf>
    <xf numFmtId="9" fontId="0" fillId="9" borderId="0" xfId="0" applyNumberFormat="1" applyFill="1" applyBorder="1" applyAlignment="1" applyProtection="1">
      <alignment horizontal="right" vertical="center" wrapText="1"/>
      <protection hidden="1"/>
    </xf>
    <xf numFmtId="0" fontId="4" fillId="18" borderId="0" xfId="0" applyFont="1" applyFill="1" applyBorder="1" applyAlignment="1" applyProtection="1">
      <alignment vertical="center" wrapText="1"/>
      <protection hidden="1"/>
    </xf>
    <xf numFmtId="0" fontId="4" fillId="12" borderId="0" xfId="0" applyFont="1" applyFill="1" applyBorder="1" applyAlignment="1" applyProtection="1">
      <alignment vertical="center" wrapText="1"/>
      <protection hidden="1"/>
    </xf>
    <xf numFmtId="165" fontId="0" fillId="9" borderId="0" xfId="0" applyNumberFormat="1" applyFill="1" applyBorder="1" applyAlignment="1" applyProtection="1">
      <alignment vertical="center" wrapText="1"/>
      <protection hidden="1"/>
    </xf>
    <xf numFmtId="0" fontId="4" fillId="22" borderId="0" xfId="0" applyFont="1" applyFill="1" applyBorder="1" applyAlignment="1" applyProtection="1">
      <alignment vertical="center" wrapText="1"/>
      <protection hidden="1"/>
    </xf>
    <xf numFmtId="0" fontId="4" fillId="15" borderId="0" xfId="0" applyFont="1" applyFill="1" applyBorder="1" applyAlignment="1" applyProtection="1">
      <alignment vertical="center" wrapText="1"/>
      <protection hidden="1"/>
    </xf>
    <xf numFmtId="0" fontId="0" fillId="9" borderId="15" xfId="0" applyFill="1" applyBorder="1" applyProtection="1">
      <protection hidden="1"/>
    </xf>
    <xf numFmtId="0" fontId="4" fillId="9" borderId="16" xfId="0" applyFont="1" applyFill="1" applyBorder="1" applyAlignment="1" applyProtection="1">
      <alignment horizontal="center" vertical="center" wrapText="1"/>
      <protection hidden="1"/>
    </xf>
    <xf numFmtId="0" fontId="4" fillId="9" borderId="17" xfId="0" applyFont="1" applyFill="1" applyBorder="1" applyAlignment="1" applyProtection="1">
      <alignment horizontal="center" vertical="center" wrapText="1"/>
      <protection hidden="1"/>
    </xf>
    <xf numFmtId="0" fontId="4" fillId="10" borderId="18" xfId="0" applyFont="1" applyFill="1" applyBorder="1" applyProtection="1">
      <protection hidden="1"/>
    </xf>
    <xf numFmtId="0" fontId="4" fillId="18" borderId="18" xfId="0" applyFont="1" applyFill="1" applyBorder="1" applyProtection="1">
      <protection hidden="1"/>
    </xf>
    <xf numFmtId="0" fontId="4" fillId="12" borderId="18" xfId="0" applyFont="1" applyFill="1" applyBorder="1" applyProtection="1">
      <protection hidden="1"/>
    </xf>
    <xf numFmtId="0" fontId="4" fillId="22" borderId="18" xfId="0" applyFont="1" applyFill="1" applyBorder="1" applyProtection="1">
      <protection hidden="1"/>
    </xf>
    <xf numFmtId="0" fontId="4" fillId="15" borderId="18" xfId="0" applyFont="1" applyFill="1" applyBorder="1" applyProtection="1">
      <protection hidden="1"/>
    </xf>
    <xf numFmtId="0" fontId="0" fillId="9" borderId="19" xfId="0" applyFill="1" applyBorder="1" applyProtection="1">
      <protection hidden="1"/>
    </xf>
    <xf numFmtId="0" fontId="6" fillId="4" borderId="71" xfId="0" applyFont="1" applyFill="1" applyBorder="1" applyProtection="1">
      <protection hidden="1"/>
    </xf>
    <xf numFmtId="0" fontId="0" fillId="9" borderId="0" xfId="0" applyFill="1" applyBorder="1" applyAlignment="1" applyProtection="1">
      <alignment vertical="center" wrapText="1"/>
      <protection hidden="1"/>
    </xf>
    <xf numFmtId="0" fontId="3" fillId="4" borderId="18" xfId="0" applyFont="1" applyFill="1" applyBorder="1" applyProtection="1">
      <protection hidden="1"/>
    </xf>
    <xf numFmtId="0" fontId="3" fillId="4" borderId="5" xfId="0" applyFont="1" applyFill="1" applyBorder="1" applyProtection="1">
      <protection hidden="1"/>
    </xf>
    <xf numFmtId="0" fontId="0" fillId="9" borderId="18" xfId="0" applyFill="1" applyBorder="1" applyProtection="1">
      <protection hidden="1"/>
    </xf>
    <xf numFmtId="0" fontId="0" fillId="9" borderId="5" xfId="0" applyFill="1" applyBorder="1" applyProtection="1">
      <protection hidden="1"/>
    </xf>
    <xf numFmtId="0" fontId="3" fillId="4" borderId="19" xfId="0" applyFont="1" applyFill="1" applyBorder="1" applyProtection="1">
      <protection hidden="1"/>
    </xf>
    <xf numFmtId="0" fontId="5" fillId="4" borderId="20" xfId="0" applyFont="1" applyFill="1" applyBorder="1" applyProtection="1">
      <protection hidden="1"/>
    </xf>
    <xf numFmtId="0" fontId="0" fillId="9" borderId="5" xfId="0" applyFill="1" applyBorder="1" applyAlignment="1" applyProtection="1">
      <alignment wrapText="1"/>
      <protection hidden="1"/>
    </xf>
    <xf numFmtId="0" fontId="0" fillId="9" borderId="20" xfId="0" applyFill="1" applyBorder="1" applyProtection="1">
      <protection hidden="1"/>
    </xf>
    <xf numFmtId="0" fontId="0" fillId="9" borderId="4" xfId="0" applyFill="1" applyBorder="1" applyProtection="1">
      <protection hidden="1"/>
    </xf>
    <xf numFmtId="0" fontId="16" fillId="2" borderId="0" xfId="0" applyFont="1" applyFill="1" applyProtection="1">
      <protection hidden="1"/>
    </xf>
    <xf numFmtId="10" fontId="16" fillId="2" borderId="0" xfId="1" applyNumberFormat="1" applyFont="1" applyFill="1" applyProtection="1">
      <protection hidden="1"/>
    </xf>
    <xf numFmtId="0" fontId="22" fillId="2" borderId="0" xfId="0" applyFont="1" applyFill="1" applyAlignment="1" applyProtection="1">
      <alignment horizontal="left"/>
      <protection hidden="1"/>
    </xf>
    <xf numFmtId="9" fontId="16" fillId="14" borderId="0" xfId="0" applyNumberFormat="1" applyFont="1" applyFill="1" applyBorder="1" applyAlignment="1">
      <alignment horizontal="left"/>
    </xf>
    <xf numFmtId="0" fontId="23" fillId="14" borderId="0" xfId="0" applyFont="1" applyFill="1" applyAlignment="1">
      <alignment vertical="top" wrapText="1"/>
    </xf>
    <xf numFmtId="0" fontId="7" fillId="14" borderId="0" xfId="0" applyFont="1" applyFill="1" applyAlignment="1">
      <alignment vertical="top" wrapText="1"/>
    </xf>
    <xf numFmtId="9" fontId="11" fillId="14" borderId="0" xfId="7" applyNumberFormat="1" applyFont="1" applyFill="1" applyBorder="1" applyAlignment="1" applyProtection="1">
      <alignment horizontal="center" vertical="top" wrapText="1"/>
      <protection hidden="1"/>
    </xf>
    <xf numFmtId="10" fontId="16" fillId="7" borderId="0" xfId="0" applyNumberFormat="1" applyFont="1" applyFill="1" applyProtection="1">
      <protection hidden="1"/>
    </xf>
    <xf numFmtId="0" fontId="7" fillId="9" borderId="0" xfId="0" applyFont="1" applyFill="1" applyAlignment="1">
      <alignment vertical="center" textRotation="90" wrapText="1"/>
    </xf>
    <xf numFmtId="0" fontId="7" fillId="2" borderId="0" xfId="0" applyFont="1" applyFill="1" applyBorder="1" applyAlignment="1"/>
    <xf numFmtId="0" fontId="5" fillId="9" borderId="0" xfId="0" applyFont="1" applyFill="1"/>
    <xf numFmtId="0" fontId="7" fillId="9" borderId="0" xfId="0" applyFont="1" applyFill="1"/>
    <xf numFmtId="0" fontId="7" fillId="9" borderId="0" xfId="0" applyFont="1" applyFill="1" applyBorder="1" applyAlignment="1"/>
    <xf numFmtId="0" fontId="0" fillId="9" borderId="0" xfId="0" applyFill="1"/>
    <xf numFmtId="0" fontId="5" fillId="4" borderId="6" xfId="0" applyFont="1" applyFill="1" applyBorder="1" applyProtection="1">
      <protection hidden="1"/>
    </xf>
    <xf numFmtId="0" fontId="3" fillId="4" borderId="6" xfId="0" applyFont="1" applyFill="1" applyBorder="1"/>
    <xf numFmtId="0" fontId="5" fillId="4" borderId="6" xfId="0" applyFont="1" applyFill="1" applyBorder="1"/>
    <xf numFmtId="9" fontId="0" fillId="9" borderId="6" xfId="0" applyNumberFormat="1" applyFill="1" applyBorder="1" applyProtection="1">
      <protection hidden="1"/>
    </xf>
    <xf numFmtId="170" fontId="0" fillId="9" borderId="6" xfId="0" applyNumberFormat="1" applyFill="1" applyBorder="1" applyProtection="1">
      <protection hidden="1"/>
    </xf>
    <xf numFmtId="10" fontId="0" fillId="9" borderId="6" xfId="0" applyNumberFormat="1" applyFill="1" applyBorder="1" applyProtection="1">
      <protection hidden="1"/>
    </xf>
    <xf numFmtId="0" fontId="7" fillId="9" borderId="6" xfId="0" applyFont="1" applyFill="1" applyBorder="1"/>
    <xf numFmtId="0" fontId="16" fillId="5" borderId="0" xfId="0" applyFont="1" applyFill="1" applyBorder="1" applyAlignment="1">
      <alignment horizontal="center" vertical="center" wrapText="1"/>
    </xf>
    <xf numFmtId="164" fontId="4" fillId="18" borderId="0" xfId="7" applyFont="1" applyFill="1" applyBorder="1" applyProtection="1">
      <protection hidden="1"/>
    </xf>
    <xf numFmtId="165" fontId="5" fillId="5" borderId="0" xfId="0" applyNumberFormat="1" applyFont="1" applyFill="1" applyBorder="1" applyAlignment="1"/>
    <xf numFmtId="9" fontId="0" fillId="14" borderId="0" xfId="0" applyNumberFormat="1" applyFill="1"/>
    <xf numFmtId="0" fontId="0" fillId="14" borderId="0" xfId="0" applyFill="1"/>
    <xf numFmtId="10" fontId="0" fillId="14" borderId="0" xfId="0" applyNumberFormat="1" applyFill="1"/>
    <xf numFmtId="9" fontId="16" fillId="7" borderId="0" xfId="0" applyNumberFormat="1" applyFont="1" applyFill="1" applyProtection="1">
      <protection hidden="1"/>
    </xf>
    <xf numFmtId="2" fontId="16" fillId="7" borderId="0" xfId="0" applyNumberFormat="1" applyFont="1" applyFill="1" applyProtection="1">
      <protection hidden="1"/>
    </xf>
    <xf numFmtId="0" fontId="110" fillId="4" borderId="6" xfId="0" applyFont="1" applyFill="1" applyBorder="1"/>
    <xf numFmtId="0" fontId="111" fillId="14" borderId="0" xfId="0" applyFont="1" applyFill="1" applyBorder="1" applyAlignment="1" applyProtection="1">
      <alignment horizontal="left"/>
      <protection hidden="1"/>
    </xf>
    <xf numFmtId="0" fontId="36" fillId="40" borderId="0" xfId="0" applyFont="1" applyFill="1" applyBorder="1" applyAlignment="1" applyProtection="1">
      <alignment horizontal="left" wrapText="1"/>
      <protection hidden="1"/>
    </xf>
    <xf numFmtId="0" fontId="111" fillId="14" borderId="0" xfId="0" applyFont="1" applyFill="1" applyBorder="1" applyProtection="1">
      <protection hidden="1"/>
    </xf>
    <xf numFmtId="0" fontId="6" fillId="33" borderId="0" xfId="0" applyFont="1" applyFill="1" applyAlignment="1">
      <alignment horizontal="center"/>
    </xf>
    <xf numFmtId="0" fontId="0" fillId="33" borderId="0" xfId="0" applyFill="1"/>
    <xf numFmtId="0" fontId="6" fillId="4" borderId="0" xfId="0" applyFont="1" applyFill="1"/>
    <xf numFmtId="0" fontId="0" fillId="22" borderId="0" xfId="0" applyFill="1"/>
    <xf numFmtId="0" fontId="20" fillId="4" borderId="0" xfId="0" applyFont="1" applyFill="1" applyBorder="1"/>
    <xf numFmtId="0" fontId="18" fillId="5" borderId="0" xfId="0" applyFont="1" applyFill="1" applyBorder="1" applyAlignment="1"/>
    <xf numFmtId="0" fontId="22" fillId="4" borderId="0" xfId="0" applyFont="1" applyFill="1" applyAlignment="1" applyProtection="1">
      <alignment horizontal="right"/>
      <protection hidden="1"/>
    </xf>
    <xf numFmtId="0" fontId="3" fillId="4" borderId="18" xfId="0" applyFont="1" applyFill="1" applyBorder="1" applyAlignment="1">
      <alignment horizontal="center" vertical="center"/>
    </xf>
    <xf numFmtId="0" fontId="3" fillId="2" borderId="0" xfId="0" applyFont="1" applyFill="1" applyBorder="1"/>
    <xf numFmtId="10" fontId="0" fillId="2" borderId="0" xfId="0" applyNumberFormat="1" applyFill="1" applyBorder="1" applyProtection="1">
      <protection hidden="1"/>
    </xf>
    <xf numFmtId="171" fontId="0" fillId="2" borderId="0" xfId="0" applyNumberFormat="1" applyFill="1" applyBorder="1" applyProtection="1">
      <protection hidden="1"/>
    </xf>
    <xf numFmtId="0" fontId="7" fillId="2" borderId="0" xfId="0" applyFont="1" applyFill="1" applyBorder="1"/>
    <xf numFmtId="0" fontId="7" fillId="2" borderId="0" xfId="0" applyFont="1" applyFill="1" applyBorder="1" applyAlignment="1">
      <alignment vertical="center" textRotation="90" wrapText="1"/>
    </xf>
    <xf numFmtId="10" fontId="16" fillId="2" borderId="0" xfId="0" applyNumberFormat="1" applyFont="1" applyFill="1" applyBorder="1" applyProtection="1">
      <protection hidden="1"/>
    </xf>
    <xf numFmtId="0" fontId="7" fillId="2" borderId="0" xfId="0" applyFont="1" applyFill="1" applyBorder="1" applyAlignment="1">
      <alignment horizontal="right"/>
    </xf>
    <xf numFmtId="0" fontId="9" fillId="2" borderId="0" xfId="0" applyFont="1" applyFill="1" applyBorder="1" applyAlignment="1">
      <alignment horizontal="right"/>
    </xf>
    <xf numFmtId="9" fontId="11" fillId="2" borderId="0" xfId="0" applyNumberFormat="1" applyFont="1" applyFill="1" applyBorder="1" applyProtection="1">
      <protection hidden="1"/>
    </xf>
    <xf numFmtId="164" fontId="5" fillId="2" borderId="0" xfId="7" applyFont="1" applyFill="1" applyBorder="1" applyProtection="1">
      <protection hidden="1"/>
    </xf>
    <xf numFmtId="0" fontId="4" fillId="5" borderId="0" xfId="0" applyFont="1" applyFill="1" applyProtection="1">
      <protection hidden="1"/>
    </xf>
    <xf numFmtId="9" fontId="4" fillId="7" borderId="0" xfId="0" applyNumberFormat="1" applyFont="1" applyFill="1" applyProtection="1">
      <protection hidden="1"/>
    </xf>
    <xf numFmtId="0" fontId="16" fillId="4" borderId="0" xfId="3" applyFont="1" applyFill="1" applyBorder="1" applyAlignment="1" applyProtection="1">
      <alignment horizontal="left" vertical="center" wrapText="1"/>
      <protection hidden="1"/>
    </xf>
    <xf numFmtId="0" fontId="6" fillId="5" borderId="0" xfId="0" applyFont="1" applyFill="1" applyBorder="1" applyAlignment="1">
      <alignment horizontal="left" vertical="center"/>
    </xf>
    <xf numFmtId="9" fontId="0" fillId="18" borderId="0" xfId="1" applyFont="1" applyFill="1" applyBorder="1" applyAlignment="1" applyProtection="1">
      <alignment horizontal="center"/>
      <protection hidden="1"/>
    </xf>
    <xf numFmtId="9" fontId="16" fillId="12" borderId="0" xfId="1" applyFont="1" applyFill="1" applyBorder="1" applyAlignment="1" applyProtection="1">
      <alignment horizontal="center"/>
      <protection hidden="1"/>
    </xf>
    <xf numFmtId="9" fontId="0" fillId="33" borderId="0" xfId="1" applyFont="1" applyFill="1" applyBorder="1" applyAlignment="1" applyProtection="1">
      <alignment horizontal="center"/>
      <protection hidden="1"/>
    </xf>
    <xf numFmtId="9" fontId="0" fillId="22" borderId="0" xfId="1" applyFont="1" applyFill="1" applyBorder="1" applyAlignment="1" applyProtection="1">
      <alignment horizontal="center"/>
      <protection hidden="1"/>
    </xf>
    <xf numFmtId="9" fontId="0" fillId="15" borderId="0" xfId="1" applyFont="1" applyFill="1" applyBorder="1" applyAlignment="1" applyProtection="1">
      <alignment horizontal="center"/>
      <protection hidden="1"/>
    </xf>
    <xf numFmtId="9" fontId="32" fillId="14" borderId="0" xfId="0" applyNumberFormat="1" applyFont="1" applyFill="1" applyBorder="1" applyAlignment="1" applyProtection="1">
      <alignment horizontal="center" wrapText="1"/>
      <protection hidden="1"/>
    </xf>
    <xf numFmtId="0" fontId="0" fillId="0" borderId="17" xfId="0" applyFill="1" applyBorder="1" applyProtection="1">
      <protection hidden="1"/>
    </xf>
    <xf numFmtId="9" fontId="0" fillId="0" borderId="5" xfId="0" applyNumberFormat="1" applyFill="1" applyBorder="1" applyProtection="1">
      <protection hidden="1"/>
    </xf>
    <xf numFmtId="0" fontId="0" fillId="0" borderId="4" xfId="0" applyFill="1" applyBorder="1" applyProtection="1">
      <protection hidden="1"/>
    </xf>
    <xf numFmtId="0" fontId="4" fillId="0" borderId="15" xfId="0" applyFont="1" applyFill="1" applyBorder="1" applyProtection="1">
      <protection hidden="1"/>
    </xf>
    <xf numFmtId="0" fontId="4" fillId="0" borderId="18" xfId="0" applyFont="1" applyFill="1" applyBorder="1" applyProtection="1">
      <protection hidden="1"/>
    </xf>
    <xf numFmtId="0" fontId="4" fillId="0" borderId="19" xfId="0" applyFont="1" applyFill="1" applyBorder="1" applyProtection="1">
      <protection hidden="1"/>
    </xf>
    <xf numFmtId="0" fontId="4" fillId="2" borderId="0" xfId="0" applyFont="1" applyFill="1" applyBorder="1" applyAlignment="1" applyProtection="1">
      <alignment horizontal="center" vertical="center" wrapText="1"/>
      <protection hidden="1"/>
    </xf>
    <xf numFmtId="0" fontId="0" fillId="2" borderId="0" xfId="0" applyFont="1" applyFill="1" applyBorder="1" applyAlignment="1" applyProtection="1">
      <alignment vertical="center" wrapText="1"/>
      <protection hidden="1"/>
    </xf>
    <xf numFmtId="0" fontId="10" fillId="2" borderId="0" xfId="0" applyFont="1" applyFill="1" applyBorder="1" applyAlignment="1">
      <alignment vertical="center" wrapText="1"/>
    </xf>
    <xf numFmtId="0" fontId="14" fillId="2" borderId="0" xfId="0" applyFont="1" applyFill="1" applyBorder="1" applyAlignment="1">
      <alignment vertical="center" wrapText="1"/>
    </xf>
    <xf numFmtId="0" fontId="9" fillId="2" borderId="0" xfId="0" applyFont="1" applyFill="1" applyBorder="1" applyAlignment="1">
      <alignment vertical="center" wrapText="1"/>
    </xf>
    <xf numFmtId="0" fontId="24" fillId="2" borderId="0" xfId="0" applyFont="1" applyFill="1" applyBorder="1" applyAlignment="1">
      <alignment vertical="center" wrapText="1"/>
    </xf>
    <xf numFmtId="0" fontId="7" fillId="2" borderId="0" xfId="0" applyFont="1" applyFill="1" applyAlignment="1">
      <alignment vertical="center"/>
    </xf>
    <xf numFmtId="0" fontId="7" fillId="2" borderId="0" xfId="0" applyFont="1" applyFill="1" applyBorder="1" applyAlignment="1">
      <alignment horizontal="left" vertical="top" wrapText="1"/>
    </xf>
    <xf numFmtId="0" fontId="7" fillId="2" borderId="0" xfId="0" applyFont="1" applyFill="1" applyBorder="1" applyAlignment="1">
      <alignment vertical="top" wrapText="1"/>
    </xf>
    <xf numFmtId="0" fontId="14" fillId="2" borderId="0" xfId="0" applyFont="1" applyFill="1" applyBorder="1" applyAlignment="1">
      <alignment vertical="top" wrapText="1"/>
    </xf>
    <xf numFmtId="0" fontId="16" fillId="5" borderId="0" xfId="0" applyFont="1" applyFill="1" applyProtection="1">
      <protection hidden="1"/>
    </xf>
    <xf numFmtId="0" fontId="15" fillId="7" borderId="6" xfId="0" applyFont="1" applyFill="1" applyBorder="1" applyProtection="1">
      <protection hidden="1"/>
    </xf>
    <xf numFmtId="0" fontId="4" fillId="12" borderId="18" xfId="0" applyFont="1" applyFill="1" applyBorder="1" applyAlignment="1">
      <alignment vertical="center"/>
    </xf>
    <xf numFmtId="9" fontId="6" fillId="10" borderId="0" xfId="1" applyFont="1" applyFill="1" applyBorder="1" applyAlignment="1" applyProtection="1">
      <alignment horizontal="right"/>
      <protection hidden="1"/>
    </xf>
    <xf numFmtId="0" fontId="34" fillId="14" borderId="0" xfId="0" applyFont="1" applyFill="1" applyBorder="1" applyAlignment="1" applyProtection="1">
      <alignment horizontal="left" wrapText="1"/>
      <protection hidden="1"/>
    </xf>
    <xf numFmtId="0" fontId="16" fillId="10" borderId="0" xfId="3" applyFont="1" applyFill="1" applyBorder="1" applyAlignment="1" applyProtection="1">
      <alignment horizontal="right" vertical="top" wrapText="1"/>
    </xf>
    <xf numFmtId="0" fontId="20" fillId="4" borderId="52" xfId="0" applyFont="1" applyFill="1" applyBorder="1" applyAlignment="1">
      <alignment vertical="top"/>
    </xf>
    <xf numFmtId="0" fontId="6" fillId="2" borderId="0" xfId="0" applyFont="1" applyFill="1" applyBorder="1" applyAlignment="1">
      <alignment vertical="top"/>
    </xf>
    <xf numFmtId="0" fontId="49" fillId="2" borderId="0" xfId="0" applyFont="1" applyFill="1" applyBorder="1" applyAlignment="1">
      <alignment vertical="top"/>
    </xf>
    <xf numFmtId="2" fontId="49" fillId="2" borderId="0" xfId="0" applyNumberFormat="1" applyFont="1" applyFill="1" applyBorder="1" applyAlignment="1">
      <alignment vertical="top"/>
    </xf>
    <xf numFmtId="0" fontId="6" fillId="10" borderId="0" xfId="0" applyFont="1" applyFill="1" applyBorder="1" applyAlignment="1">
      <alignment vertical="top"/>
    </xf>
    <xf numFmtId="0" fontId="3" fillId="4" borderId="0" xfId="0" applyFont="1" applyFill="1" applyBorder="1" applyAlignment="1">
      <alignment horizontal="center" vertical="top"/>
    </xf>
    <xf numFmtId="0" fontId="0" fillId="2" borderId="0" xfId="0" applyFill="1" applyAlignment="1">
      <alignment vertical="top"/>
    </xf>
    <xf numFmtId="0" fontId="0" fillId="2" borderId="0" xfId="0" applyFill="1" applyBorder="1" applyAlignment="1">
      <alignment vertical="top"/>
    </xf>
    <xf numFmtId="0" fontId="0" fillId="4" borderId="0" xfId="0" applyFill="1" applyAlignment="1">
      <alignment vertical="top"/>
    </xf>
    <xf numFmtId="0" fontId="0" fillId="7" borderId="6" xfId="0" applyFill="1" applyBorder="1" applyProtection="1">
      <protection hidden="1"/>
    </xf>
    <xf numFmtId="9" fontId="116" fillId="6" borderId="6" xfId="0" applyNumberFormat="1" applyFont="1" applyFill="1" applyBorder="1" applyProtection="1">
      <protection hidden="1"/>
    </xf>
    <xf numFmtId="168" fontId="116" fillId="6" borderId="6" xfId="0" applyNumberFormat="1" applyFont="1" applyFill="1" applyBorder="1" applyProtection="1">
      <protection hidden="1"/>
    </xf>
    <xf numFmtId="2" fontId="116" fillId="6" borderId="6" xfId="0" applyNumberFormat="1" applyFont="1" applyFill="1" applyBorder="1" applyProtection="1">
      <protection hidden="1"/>
    </xf>
    <xf numFmtId="172" fontId="116" fillId="6" borderId="6" xfId="0" applyNumberFormat="1" applyFont="1" applyFill="1" applyBorder="1" applyProtection="1">
      <protection hidden="1"/>
    </xf>
    <xf numFmtId="169" fontId="0" fillId="9" borderId="6" xfId="0" applyNumberFormat="1" applyFill="1" applyBorder="1" applyProtection="1">
      <protection hidden="1"/>
    </xf>
    <xf numFmtId="173" fontId="0" fillId="9" borderId="6" xfId="0" applyNumberFormat="1" applyFill="1" applyBorder="1" applyProtection="1">
      <protection hidden="1"/>
    </xf>
    <xf numFmtId="174" fontId="0" fillId="9" borderId="6" xfId="0" applyNumberFormat="1" applyFill="1" applyBorder="1" applyProtection="1">
      <protection hidden="1"/>
    </xf>
    <xf numFmtId="174" fontId="7" fillId="9" borderId="6" xfId="0" applyNumberFormat="1" applyFont="1" applyFill="1" applyBorder="1"/>
    <xf numFmtId="0" fontId="6" fillId="9" borderId="0" xfId="0" applyFont="1" applyFill="1" applyProtection="1">
      <protection hidden="1"/>
    </xf>
    <xf numFmtId="164" fontId="16" fillId="28" borderId="0" xfId="7" applyFont="1" applyFill="1" applyBorder="1" applyAlignment="1" applyProtection="1">
      <alignment horizontal="center" wrapText="1"/>
      <protection hidden="1"/>
    </xf>
    <xf numFmtId="9" fontId="116" fillId="28" borderId="0" xfId="0" applyNumberFormat="1" applyFont="1" applyFill="1"/>
    <xf numFmtId="172" fontId="0" fillId="14" borderId="0" xfId="0" applyNumberFormat="1" applyFill="1"/>
    <xf numFmtId="171" fontId="0" fillId="9" borderId="6" xfId="1" applyNumberFormat="1" applyFont="1" applyFill="1" applyBorder="1" applyProtection="1">
      <protection hidden="1"/>
    </xf>
    <xf numFmtId="172" fontId="0" fillId="9" borderId="6" xfId="1" applyNumberFormat="1" applyFont="1" applyFill="1" applyBorder="1" applyProtection="1">
      <protection hidden="1"/>
    </xf>
    <xf numFmtId="2" fontId="5" fillId="4" borderId="0" xfId="0" applyNumberFormat="1" applyFont="1" applyFill="1" applyProtection="1">
      <protection hidden="1"/>
    </xf>
    <xf numFmtId="0" fontId="9" fillId="4" borderId="6" xfId="0" applyFont="1" applyFill="1" applyBorder="1" applyAlignment="1">
      <alignment horizontal="center" vertical="center" textRotation="90" wrapText="1"/>
    </xf>
    <xf numFmtId="0" fontId="15" fillId="2" borderId="0" xfId="0" applyFont="1" applyFill="1" applyBorder="1" applyAlignment="1">
      <alignment horizontal="center" vertical="center" wrapText="1"/>
    </xf>
    <xf numFmtId="0" fontId="16" fillId="5" borderId="0" xfId="0" applyFont="1" applyFill="1" applyBorder="1" applyAlignment="1">
      <alignment horizontal="center"/>
    </xf>
    <xf numFmtId="0" fontId="16" fillId="5" borderId="0" xfId="0" applyFont="1" applyFill="1" applyBorder="1" applyAlignment="1">
      <alignment horizontal="center" vertical="center"/>
    </xf>
    <xf numFmtId="0" fontId="68" fillId="14" borderId="0" xfId="0" applyFont="1" applyFill="1" applyBorder="1" applyAlignment="1">
      <alignment horizontal="center"/>
    </xf>
    <xf numFmtId="0" fontId="26" fillId="5" borderId="18" xfId="0" applyFont="1" applyFill="1" applyBorder="1" applyAlignment="1">
      <alignment horizontal="center"/>
    </xf>
    <xf numFmtId="0" fontId="26" fillId="5" borderId="0" xfId="0" applyFont="1" applyFill="1" applyBorder="1" applyAlignment="1">
      <alignment horizontal="center"/>
    </xf>
    <xf numFmtId="0" fontId="6" fillId="14" borderId="0" xfId="0" applyFont="1" applyFill="1" applyProtection="1">
      <protection hidden="1"/>
    </xf>
    <xf numFmtId="0" fontId="16" fillId="14" borderId="0" xfId="0" applyFont="1" applyFill="1" applyBorder="1" applyAlignment="1" applyProtection="1">
      <protection hidden="1"/>
    </xf>
    <xf numFmtId="0" fontId="38" fillId="5" borderId="18" xfId="0" applyFont="1" applyFill="1" applyBorder="1" applyAlignment="1">
      <alignment horizontal="center"/>
    </xf>
    <xf numFmtId="0" fontId="38" fillId="5" borderId="0" xfId="0" applyFont="1" applyFill="1" applyBorder="1" applyAlignment="1">
      <alignment horizontal="center"/>
    </xf>
    <xf numFmtId="0" fontId="16" fillId="5" borderId="18" xfId="0" applyFont="1" applyFill="1" applyBorder="1" applyAlignment="1">
      <alignment horizontal="center"/>
    </xf>
    <xf numFmtId="0" fontId="6" fillId="5" borderId="0" xfId="0" applyFont="1" applyFill="1" applyBorder="1" applyAlignment="1">
      <alignment horizontal="center" vertical="center"/>
    </xf>
    <xf numFmtId="165" fontId="3" fillId="5" borderId="18" xfId="0" applyNumberFormat="1" applyFont="1" applyFill="1" applyBorder="1" applyAlignment="1"/>
    <xf numFmtId="165" fontId="3" fillId="5" borderId="0" xfId="0" applyNumberFormat="1" applyFont="1" applyFill="1" applyBorder="1" applyAlignment="1"/>
    <xf numFmtId="0" fontId="4" fillId="5" borderId="18" xfId="0" applyFont="1" applyFill="1" applyBorder="1"/>
    <xf numFmtId="2" fontId="59" fillId="2" borderId="0" xfId="0" applyNumberFormat="1" applyFont="1" applyFill="1" applyBorder="1" applyAlignment="1">
      <alignment horizontal="center"/>
    </xf>
    <xf numFmtId="0" fontId="3" fillId="5" borderId="0" xfId="0" applyFont="1" applyFill="1" applyBorder="1" applyAlignment="1">
      <alignment horizontal="center"/>
    </xf>
    <xf numFmtId="2" fontId="49" fillId="2" borderId="0" xfId="0" applyNumberFormat="1" applyFont="1" applyFill="1" applyBorder="1" applyAlignment="1">
      <alignment horizontal="center" vertical="top"/>
    </xf>
    <xf numFmtId="0" fontId="0" fillId="5" borderId="18" xfId="0" applyFill="1" applyBorder="1" applyAlignment="1">
      <alignment horizontal="center" vertical="center"/>
    </xf>
    <xf numFmtId="0" fontId="16" fillId="5" borderId="18" xfId="0" applyFont="1" applyFill="1" applyBorder="1" applyAlignment="1">
      <alignment horizontal="center" vertical="center"/>
    </xf>
    <xf numFmtId="0" fontId="49" fillId="2" borderId="0" xfId="0" applyFont="1" applyFill="1" applyBorder="1" applyAlignment="1">
      <alignment horizontal="center" vertical="top"/>
    </xf>
    <xf numFmtId="0" fontId="6" fillId="5" borderId="18" xfId="0" applyFont="1" applyFill="1" applyBorder="1" applyAlignment="1">
      <alignment horizontal="center" vertical="center"/>
    </xf>
    <xf numFmtId="0" fontId="4" fillId="19" borderId="18" xfId="0" applyFont="1" applyFill="1" applyBorder="1" applyAlignment="1">
      <alignment vertical="center"/>
    </xf>
    <xf numFmtId="0" fontId="4" fillId="3" borderId="18" xfId="0" applyFont="1" applyFill="1" applyBorder="1" applyAlignment="1">
      <alignment vertical="center"/>
    </xf>
    <xf numFmtId="10" fontId="0" fillId="2" borderId="0" xfId="1" applyNumberFormat="1" applyFont="1" applyFill="1" applyProtection="1">
      <protection hidden="1"/>
    </xf>
    <xf numFmtId="0" fontId="0" fillId="43" borderId="6" xfId="0" applyFill="1" applyBorder="1" applyProtection="1">
      <protection hidden="1"/>
    </xf>
    <xf numFmtId="0" fontId="117" fillId="2" borderId="0" xfId="0" applyFont="1" applyFill="1" applyProtection="1">
      <protection hidden="1"/>
    </xf>
    <xf numFmtId="0" fontId="117" fillId="2" borderId="0" xfId="0" applyFont="1" applyFill="1" applyAlignment="1" applyProtection="1">
      <protection hidden="1"/>
    </xf>
    <xf numFmtId="9" fontId="49" fillId="2" borderId="0" xfId="0" applyNumberFormat="1" applyFont="1" applyFill="1" applyProtection="1">
      <protection hidden="1"/>
    </xf>
    <xf numFmtId="2" fontId="49" fillId="2" borderId="0" xfId="0" applyNumberFormat="1" applyFont="1" applyFill="1" applyProtection="1">
      <protection hidden="1"/>
    </xf>
    <xf numFmtId="0" fontId="59" fillId="2" borderId="0" xfId="0" applyFont="1" applyFill="1" applyBorder="1" applyAlignment="1" applyProtection="1">
      <alignment horizontal="center" vertical="center" wrapText="1"/>
      <protection hidden="1"/>
    </xf>
    <xf numFmtId="164" fontId="59" fillId="2" borderId="0" xfId="7" applyFont="1" applyFill="1" applyBorder="1" applyProtection="1">
      <protection hidden="1"/>
    </xf>
    <xf numFmtId="2" fontId="59" fillId="2" borderId="0" xfId="0" applyNumberFormat="1" applyFont="1" applyFill="1" applyBorder="1" applyProtection="1">
      <protection hidden="1"/>
    </xf>
    <xf numFmtId="0" fontId="59" fillId="2" borderId="0" xfId="0" applyFont="1" applyFill="1" applyBorder="1" applyAlignment="1" applyProtection="1">
      <protection hidden="1"/>
    </xf>
    <xf numFmtId="0" fontId="59" fillId="2" borderId="0" xfId="0" applyFont="1" applyFill="1" applyBorder="1" applyProtection="1">
      <protection hidden="1"/>
    </xf>
    <xf numFmtId="9" fontId="0" fillId="14" borderId="35" xfId="0" applyNumberFormat="1" applyFont="1" applyFill="1" applyBorder="1" applyAlignment="1">
      <alignment horizontal="left" vertical="center"/>
    </xf>
    <xf numFmtId="164" fontId="34" fillId="14" borderId="0" xfId="7" applyFont="1" applyFill="1" applyBorder="1" applyAlignment="1" applyProtection="1">
      <alignment horizontal="left"/>
      <protection hidden="1"/>
    </xf>
    <xf numFmtId="0" fontId="3" fillId="4" borderId="0" xfId="0" applyFont="1" applyFill="1" applyBorder="1" applyAlignment="1">
      <alignment horizontal="center" vertical="center"/>
    </xf>
    <xf numFmtId="0" fontId="26" fillId="5" borderId="18" xfId="0" applyFont="1" applyFill="1" applyBorder="1" applyAlignment="1">
      <alignment horizontal="center"/>
    </xf>
    <xf numFmtId="0" fontId="26" fillId="5" borderId="0" xfId="0" applyFont="1" applyFill="1" applyBorder="1" applyAlignment="1">
      <alignment horizontal="center"/>
    </xf>
    <xf numFmtId="0" fontId="0" fillId="14" borderId="0" xfId="0" applyFont="1" applyFill="1" applyBorder="1" applyAlignment="1">
      <alignment horizontal="left" vertical="center" wrapText="1"/>
    </xf>
    <xf numFmtId="0" fontId="16" fillId="5" borderId="63" xfId="0" applyFont="1" applyFill="1" applyBorder="1" applyAlignment="1"/>
    <xf numFmtId="0" fontId="63" fillId="4" borderId="15" xfId="0" applyFont="1" applyFill="1" applyBorder="1" applyAlignment="1">
      <alignment vertical="top" wrapText="1"/>
    </xf>
    <xf numFmtId="0" fontId="63" fillId="4" borderId="17" xfId="0" applyFont="1" applyFill="1" applyBorder="1" applyAlignment="1">
      <alignment vertical="top" wrapText="1"/>
    </xf>
    <xf numFmtId="0" fontId="6" fillId="2" borderId="0" xfId="0" applyFont="1" applyFill="1" applyAlignment="1" applyProtection="1">
      <alignment horizontal="right"/>
      <protection hidden="1"/>
    </xf>
    <xf numFmtId="0" fontId="37" fillId="2" borderId="0" xfId="0" applyFont="1" applyFill="1" applyAlignment="1" applyProtection="1">
      <alignment wrapText="1"/>
      <protection hidden="1"/>
    </xf>
    <xf numFmtId="0" fontId="15" fillId="7" borderId="39" xfId="0" applyFont="1" applyFill="1" applyBorder="1" applyProtection="1">
      <protection hidden="1"/>
    </xf>
    <xf numFmtId="0" fontId="16" fillId="5" borderId="0" xfId="8" applyFont="1" applyFill="1" applyBorder="1" applyAlignment="1">
      <alignment horizontal="left"/>
    </xf>
    <xf numFmtId="0" fontId="16" fillId="14" borderId="0" xfId="0" applyFont="1" applyFill="1" applyBorder="1" applyAlignment="1">
      <alignment vertical="center"/>
    </xf>
    <xf numFmtId="0" fontId="16" fillId="14" borderId="0" xfId="0" applyFont="1" applyFill="1" applyBorder="1" applyAlignment="1">
      <alignment horizontal="left" vertical="center"/>
    </xf>
    <xf numFmtId="0" fontId="4" fillId="14" borderId="0" xfId="0" applyFont="1" applyFill="1" applyBorder="1" applyAlignment="1">
      <alignment horizontal="center" vertical="center"/>
    </xf>
    <xf numFmtId="0" fontId="16" fillId="14" borderId="18" xfId="0" applyFont="1" applyFill="1" applyBorder="1" applyAlignment="1">
      <alignment horizontal="lef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3" fillId="4" borderId="73" xfId="0" applyFont="1" applyFill="1" applyBorder="1" applyAlignment="1">
      <alignment vertical="center"/>
    </xf>
    <xf numFmtId="0" fontId="3" fillId="4" borderId="25" xfId="0" applyFont="1" applyFill="1" applyBorder="1" applyAlignment="1">
      <alignment vertical="center"/>
    </xf>
    <xf numFmtId="0" fontId="3" fillId="4" borderId="68" xfId="0" applyFont="1" applyFill="1" applyBorder="1" applyAlignment="1">
      <alignment vertical="center"/>
    </xf>
    <xf numFmtId="0" fontId="3" fillId="4" borderId="27" xfId="0" applyFont="1" applyFill="1" applyBorder="1" applyAlignment="1">
      <alignment horizontal="right" vertical="center"/>
    </xf>
    <xf numFmtId="0" fontId="16" fillId="4" borderId="0" xfId="0" applyFont="1" applyFill="1" applyBorder="1" applyAlignment="1">
      <alignment vertical="center"/>
    </xf>
    <xf numFmtId="0" fontId="6" fillId="14" borderId="0" xfId="0" applyFont="1" applyFill="1" applyBorder="1" applyAlignment="1">
      <alignment horizontal="left" vertical="center"/>
    </xf>
    <xf numFmtId="0" fontId="0" fillId="14" borderId="18" xfId="0" applyFont="1" applyFill="1" applyBorder="1" applyAlignment="1">
      <alignment horizontal="right" vertical="center"/>
    </xf>
    <xf numFmtId="0" fontId="3" fillId="4" borderId="0" xfId="0" applyFont="1" applyFill="1" applyAlignment="1">
      <alignment vertical="center"/>
    </xf>
    <xf numFmtId="0" fontId="0" fillId="2" borderId="0" xfId="0" applyFont="1" applyFill="1" applyAlignment="1">
      <alignment vertical="center"/>
    </xf>
    <xf numFmtId="0" fontId="0" fillId="4" borderId="0" xfId="0" applyFont="1" applyFill="1" applyAlignment="1">
      <alignment vertical="center"/>
    </xf>
    <xf numFmtId="0" fontId="3" fillId="4" borderId="15" xfId="0" applyFont="1" applyFill="1" applyBorder="1" applyAlignment="1">
      <alignment vertical="center"/>
    </xf>
    <xf numFmtId="0" fontId="0" fillId="4" borderId="16" xfId="0" applyFont="1" applyFill="1" applyBorder="1" applyAlignment="1">
      <alignment vertical="center"/>
    </xf>
    <xf numFmtId="0" fontId="0" fillId="4" borderId="0" xfId="0" applyFont="1" applyFill="1" applyBorder="1" applyAlignment="1">
      <alignment vertical="center"/>
    </xf>
    <xf numFmtId="0" fontId="3" fillId="4" borderId="16" xfId="0" applyFont="1" applyFill="1" applyBorder="1" applyAlignment="1">
      <alignment vertical="center"/>
    </xf>
    <xf numFmtId="0" fontId="3" fillId="4" borderId="17" xfId="0" applyFont="1" applyFill="1" applyBorder="1" applyAlignment="1">
      <alignment vertical="center"/>
    </xf>
    <xf numFmtId="0" fontId="0" fillId="4" borderId="18" xfId="0" applyFont="1" applyFill="1" applyBorder="1" applyAlignment="1">
      <alignment vertical="center"/>
    </xf>
    <xf numFmtId="0" fontId="3" fillId="4" borderId="5" xfId="0" applyFont="1" applyFill="1" applyBorder="1" applyAlignment="1">
      <alignment vertical="center"/>
    </xf>
    <xf numFmtId="0" fontId="16" fillId="14" borderId="18" xfId="0" applyFont="1" applyFill="1" applyBorder="1" applyAlignment="1">
      <alignment horizontal="left" vertical="center"/>
    </xf>
    <xf numFmtId="0" fontId="16" fillId="14" borderId="0" xfId="0" applyFont="1" applyFill="1" applyBorder="1" applyAlignment="1">
      <alignment horizontal="left" vertical="center"/>
    </xf>
    <xf numFmtId="0" fontId="0" fillId="14" borderId="18" xfId="0" applyFont="1" applyFill="1" applyBorder="1" applyAlignment="1">
      <alignment vertical="center"/>
    </xf>
    <xf numFmtId="0" fontId="0" fillId="14" borderId="0" xfId="0" applyFont="1" applyFill="1" applyBorder="1" applyAlignment="1">
      <alignment vertical="center"/>
    </xf>
    <xf numFmtId="0" fontId="3" fillId="4" borderId="18" xfId="0" applyFont="1" applyFill="1" applyBorder="1" applyAlignment="1">
      <alignment vertical="center"/>
    </xf>
    <xf numFmtId="2" fontId="6" fillId="14" borderId="25" xfId="0" applyNumberFormat="1" applyFont="1" applyFill="1" applyBorder="1" applyAlignment="1">
      <alignment horizontal="left" vertical="center"/>
    </xf>
    <xf numFmtId="2" fontId="6" fillId="14" borderId="21" xfId="0" applyNumberFormat="1" applyFont="1" applyFill="1" applyBorder="1" applyAlignment="1">
      <alignment horizontal="left" vertical="center"/>
    </xf>
    <xf numFmtId="0" fontId="4" fillId="16" borderId="18" xfId="0" applyFont="1" applyFill="1" applyBorder="1" applyAlignment="1">
      <alignment vertical="center"/>
    </xf>
    <xf numFmtId="0" fontId="0" fillId="16" borderId="0" xfId="0" applyFont="1" applyFill="1" applyBorder="1" applyAlignment="1">
      <alignment vertical="center"/>
    </xf>
    <xf numFmtId="0" fontId="0" fillId="16" borderId="5" xfId="0" applyFont="1" applyFill="1" applyBorder="1" applyAlignment="1">
      <alignment vertical="center"/>
    </xf>
    <xf numFmtId="0" fontId="3" fillId="4" borderId="34" xfId="0" applyFont="1" applyFill="1" applyBorder="1" applyAlignment="1">
      <alignment horizontal="center" vertical="center"/>
    </xf>
    <xf numFmtId="0" fontId="4" fillId="20" borderId="18" xfId="0" applyFont="1" applyFill="1" applyBorder="1" applyAlignment="1">
      <alignment horizontal="right" vertical="center"/>
    </xf>
    <xf numFmtId="0" fontId="0" fillId="20" borderId="0" xfId="0" applyFont="1" applyFill="1" applyBorder="1" applyAlignment="1">
      <alignment vertical="center"/>
    </xf>
    <xf numFmtId="0" fontId="0" fillId="20" borderId="5" xfId="0" applyFont="1" applyFill="1" applyBorder="1" applyAlignment="1">
      <alignment vertical="center"/>
    </xf>
    <xf numFmtId="0" fontId="4" fillId="18" borderId="18" xfId="0" applyFont="1" applyFill="1" applyBorder="1" applyAlignment="1">
      <alignment vertical="center"/>
    </xf>
    <xf numFmtId="0" fontId="0" fillId="18" borderId="0" xfId="0" applyFont="1" applyFill="1" applyBorder="1" applyAlignment="1">
      <alignment vertical="center"/>
    </xf>
    <xf numFmtId="0" fontId="0" fillId="18" borderId="5" xfId="0" applyFont="1" applyFill="1" applyBorder="1" applyAlignment="1">
      <alignment vertical="center"/>
    </xf>
    <xf numFmtId="0" fontId="0" fillId="19" borderId="0" xfId="0" applyFont="1" applyFill="1" applyBorder="1" applyAlignment="1">
      <alignment vertical="center"/>
    </xf>
    <xf numFmtId="0" fontId="4" fillId="19" borderId="0" xfId="0" applyFont="1" applyFill="1" applyBorder="1" applyAlignment="1">
      <alignment vertical="center"/>
    </xf>
    <xf numFmtId="0" fontId="0" fillId="19" borderId="5" xfId="0" applyFont="1" applyFill="1" applyBorder="1" applyAlignment="1">
      <alignment vertical="center"/>
    </xf>
    <xf numFmtId="0" fontId="0" fillId="12" borderId="0" xfId="0" applyFont="1" applyFill="1" applyBorder="1" applyAlignment="1">
      <alignment vertical="center"/>
    </xf>
    <xf numFmtId="0" fontId="0" fillId="12" borderId="5" xfId="0" applyFont="1" applyFill="1" applyBorder="1" applyAlignment="1">
      <alignment vertical="center"/>
    </xf>
    <xf numFmtId="0" fontId="4" fillId="3" borderId="0" xfId="0" applyFont="1" applyFill="1" applyBorder="1" applyAlignment="1">
      <alignment vertical="center"/>
    </xf>
    <xf numFmtId="0" fontId="0" fillId="3" borderId="0" xfId="0" applyFont="1" applyFill="1" applyBorder="1" applyAlignment="1">
      <alignment vertical="center"/>
    </xf>
    <xf numFmtId="0" fontId="0" fillId="3" borderId="5" xfId="0" applyFont="1" applyFill="1" applyBorder="1" applyAlignment="1">
      <alignment vertical="center"/>
    </xf>
    <xf numFmtId="0" fontId="0" fillId="4" borderId="0" xfId="0" applyFont="1" applyFill="1" applyBorder="1" applyAlignment="1">
      <alignment horizontal="center"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2" borderId="0" xfId="0" applyFont="1" applyFill="1" applyAlignment="1">
      <alignment vertical="center"/>
    </xf>
    <xf numFmtId="0" fontId="0" fillId="33" borderId="0" xfId="0" applyFont="1" applyFill="1" applyBorder="1" applyAlignment="1">
      <alignment vertical="center"/>
    </xf>
    <xf numFmtId="0" fontId="0" fillId="33" borderId="5" xfId="0" applyFont="1" applyFill="1" applyBorder="1" applyAlignment="1">
      <alignment vertical="center"/>
    </xf>
    <xf numFmtId="0" fontId="0" fillId="38" borderId="0" xfId="0" applyFont="1" applyFill="1" applyBorder="1" applyAlignment="1">
      <alignment vertical="center"/>
    </xf>
    <xf numFmtId="0" fontId="0" fillId="38" borderId="5" xfId="0" applyFont="1" applyFill="1" applyBorder="1" applyAlignment="1">
      <alignment vertical="center"/>
    </xf>
    <xf numFmtId="0" fontId="0" fillId="14" borderId="5" xfId="0" applyFont="1" applyFill="1" applyBorder="1" applyAlignment="1">
      <alignment vertical="center"/>
    </xf>
    <xf numFmtId="0" fontId="0" fillId="39" borderId="0" xfId="0" applyFont="1" applyFill="1" applyBorder="1" applyAlignment="1">
      <alignment vertical="center"/>
    </xf>
    <xf numFmtId="0" fontId="0" fillId="39" borderId="5" xfId="0" applyFont="1" applyFill="1" applyBorder="1" applyAlignment="1">
      <alignment vertical="center"/>
    </xf>
    <xf numFmtId="0" fontId="4" fillId="22" borderId="0" xfId="0" applyFont="1" applyFill="1" applyBorder="1" applyAlignment="1">
      <alignment vertical="center"/>
    </xf>
    <xf numFmtId="0" fontId="0" fillId="15" borderId="0" xfId="0" applyFont="1" applyFill="1" applyBorder="1" applyAlignment="1">
      <alignment vertical="center"/>
    </xf>
    <xf numFmtId="0" fontId="0" fillId="15" borderId="5" xfId="0" applyFont="1" applyFill="1" applyBorder="1" applyAlignment="1">
      <alignment vertical="center"/>
    </xf>
    <xf numFmtId="0" fontId="4" fillId="6" borderId="0" xfId="0" applyFont="1" applyFill="1" applyBorder="1" applyAlignment="1">
      <alignment vertical="center"/>
    </xf>
    <xf numFmtId="0" fontId="0" fillId="6" borderId="0" xfId="0" applyFont="1" applyFill="1" applyBorder="1" applyAlignment="1">
      <alignment vertical="center"/>
    </xf>
    <xf numFmtId="0" fontId="0" fillId="6" borderId="5" xfId="0" applyFont="1" applyFill="1" applyBorder="1" applyAlignment="1">
      <alignment vertical="center"/>
    </xf>
    <xf numFmtId="0" fontId="0" fillId="2" borderId="0" xfId="0" applyFont="1" applyFill="1" applyBorder="1" applyAlignment="1">
      <alignment vertical="center"/>
    </xf>
    <xf numFmtId="0" fontId="4" fillId="14" borderId="0" xfId="0" applyFont="1" applyFill="1" applyBorder="1" applyAlignment="1">
      <alignment vertical="center" wrapText="1"/>
    </xf>
    <xf numFmtId="2" fontId="6" fillId="14" borderId="72" xfId="7" applyNumberFormat="1" applyFont="1" applyFill="1" applyBorder="1" applyAlignment="1">
      <alignment horizontal="left" vertical="center"/>
    </xf>
    <xf numFmtId="9" fontId="6" fillId="14" borderId="72" xfId="1" applyFont="1" applyFill="1" applyBorder="1" applyAlignment="1">
      <alignment horizontal="left" vertical="center"/>
    </xf>
    <xf numFmtId="167" fontId="0" fillId="20" borderId="0" xfId="0" applyNumberFormat="1" applyFont="1" applyFill="1" applyBorder="1" applyAlignment="1">
      <alignment vertical="center"/>
    </xf>
    <xf numFmtId="167" fontId="0" fillId="20" borderId="5" xfId="0" applyNumberFormat="1" applyFont="1" applyFill="1" applyBorder="1" applyAlignment="1">
      <alignment vertical="center"/>
    </xf>
    <xf numFmtId="167" fontId="0" fillId="14" borderId="0" xfId="0" applyNumberFormat="1" applyFont="1" applyFill="1" applyBorder="1" applyAlignment="1">
      <alignment horizontal="center" vertical="center"/>
    </xf>
    <xf numFmtId="167" fontId="0" fillId="14" borderId="5" xfId="0" applyNumberFormat="1" applyFont="1" applyFill="1" applyBorder="1" applyAlignment="1">
      <alignment horizontal="center" vertical="center"/>
    </xf>
    <xf numFmtId="167" fontId="0" fillId="14" borderId="0" xfId="0" applyNumberFormat="1" applyFont="1" applyFill="1" applyBorder="1" applyAlignment="1">
      <alignment vertical="center"/>
    </xf>
    <xf numFmtId="167" fontId="0" fillId="14" borderId="5" xfId="0" applyNumberFormat="1" applyFont="1" applyFill="1" applyBorder="1" applyAlignment="1">
      <alignment vertical="center"/>
    </xf>
    <xf numFmtId="167" fontId="4" fillId="22" borderId="0" xfId="0" applyNumberFormat="1" applyFont="1" applyFill="1" applyBorder="1" applyAlignment="1">
      <alignment vertical="center"/>
    </xf>
    <xf numFmtId="167" fontId="4" fillId="22" borderId="5" xfId="0" applyNumberFormat="1" applyFont="1" applyFill="1" applyBorder="1" applyAlignment="1">
      <alignment vertical="center"/>
    </xf>
    <xf numFmtId="0" fontId="0" fillId="14" borderId="18" xfId="0" applyFont="1" applyFill="1" applyBorder="1" applyAlignment="1">
      <alignment horizontal="right" vertical="center" wrapText="1"/>
    </xf>
    <xf numFmtId="0" fontId="0" fillId="14" borderId="0" xfId="0" applyFont="1" applyFill="1" applyBorder="1" applyAlignment="1">
      <alignment vertical="center" wrapText="1"/>
    </xf>
    <xf numFmtId="0" fontId="4" fillId="3" borderId="18" xfId="0" applyFont="1" applyFill="1" applyBorder="1" applyAlignment="1">
      <alignment vertical="center" wrapText="1"/>
    </xf>
    <xf numFmtId="0" fontId="4" fillId="3" borderId="0" xfId="0" applyFont="1" applyFill="1" applyBorder="1" applyAlignment="1">
      <alignment vertical="center" wrapText="1"/>
    </xf>
    <xf numFmtId="0" fontId="0" fillId="3" borderId="0" xfId="0" applyFont="1" applyFill="1" applyBorder="1" applyAlignment="1">
      <alignment vertical="center" wrapText="1"/>
    </xf>
    <xf numFmtId="0" fontId="0" fillId="33" borderId="0" xfId="0" applyFont="1" applyFill="1" applyBorder="1" applyAlignment="1">
      <alignment vertical="center" wrapText="1"/>
    </xf>
    <xf numFmtId="0" fontId="3" fillId="4" borderId="1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38" borderId="18" xfId="0" applyFont="1" applyFill="1" applyBorder="1" applyAlignment="1">
      <alignment vertical="center" wrapText="1"/>
    </xf>
    <xf numFmtId="0" fontId="0" fillId="38" borderId="0" xfId="0" applyFont="1" applyFill="1" applyBorder="1" applyAlignment="1">
      <alignment vertical="center" wrapText="1"/>
    </xf>
    <xf numFmtId="0" fontId="4" fillId="38" borderId="0" xfId="0" applyFont="1" applyFill="1" applyBorder="1" applyAlignment="1">
      <alignment vertical="center" wrapText="1"/>
    </xf>
    <xf numFmtId="0" fontId="4" fillId="14" borderId="18" xfId="0" applyFont="1" applyFill="1" applyBorder="1" applyAlignment="1">
      <alignment horizontal="right" vertical="center" wrapText="1"/>
    </xf>
    <xf numFmtId="0" fontId="0" fillId="39" borderId="0" xfId="0" applyFont="1" applyFill="1" applyBorder="1" applyAlignment="1">
      <alignment vertical="center" wrapText="1"/>
    </xf>
    <xf numFmtId="0" fontId="4" fillId="22" borderId="18" xfId="0" applyFont="1" applyFill="1" applyBorder="1" applyAlignment="1">
      <alignment vertical="center" wrapText="1"/>
    </xf>
    <xf numFmtId="0" fontId="4" fillId="22" borderId="0" xfId="0" applyFont="1" applyFill="1" applyBorder="1" applyAlignment="1">
      <alignment vertical="center" wrapText="1"/>
    </xf>
    <xf numFmtId="0" fontId="0" fillId="15" borderId="0" xfId="0" applyFont="1" applyFill="1" applyBorder="1" applyAlignment="1">
      <alignment vertical="center" wrapText="1"/>
    </xf>
    <xf numFmtId="0" fontId="4" fillId="6" borderId="18" xfId="0" applyFont="1" applyFill="1" applyBorder="1" applyAlignment="1">
      <alignment vertical="center" wrapText="1"/>
    </xf>
    <xf numFmtId="0" fontId="4" fillId="6" borderId="0" xfId="0" applyFont="1" applyFill="1" applyBorder="1" applyAlignment="1">
      <alignment vertical="center" wrapText="1"/>
    </xf>
    <xf numFmtId="0" fontId="0" fillId="14" borderId="19" xfId="0" applyFont="1" applyFill="1" applyBorder="1" applyAlignment="1">
      <alignment horizontal="right" vertical="center" wrapText="1"/>
    </xf>
    <xf numFmtId="0" fontId="0" fillId="14" borderId="20" xfId="0" applyFont="1" applyFill="1" applyBorder="1" applyAlignment="1">
      <alignment vertical="center" wrapText="1"/>
    </xf>
    <xf numFmtId="0" fontId="4" fillId="9" borderId="0" xfId="0" applyFont="1" applyFill="1" applyBorder="1" applyAlignment="1">
      <alignment vertical="center" wrapText="1"/>
    </xf>
    <xf numFmtId="0" fontId="6" fillId="9" borderId="0" xfId="0" applyFont="1" applyFill="1" applyBorder="1" applyAlignment="1">
      <alignment vertical="center"/>
    </xf>
    <xf numFmtId="0" fontId="65" fillId="5" borderId="0" xfId="0" applyFont="1" applyFill="1" applyBorder="1"/>
    <xf numFmtId="2" fontId="65" fillId="5" borderId="0" xfId="0" applyNumberFormat="1" applyFont="1" applyFill="1" applyBorder="1"/>
    <xf numFmtId="0" fontId="16" fillId="9" borderId="0" xfId="0" applyFont="1" applyFill="1" applyBorder="1"/>
    <xf numFmtId="2" fontId="65" fillId="9" borderId="0" xfId="0" applyNumberFormat="1" applyFont="1" applyFill="1" applyBorder="1" applyAlignment="1">
      <alignment vertical="center"/>
    </xf>
    <xf numFmtId="0" fontId="16" fillId="9" borderId="0" xfId="0" applyFont="1" applyFill="1" applyBorder="1" applyAlignment="1"/>
    <xf numFmtId="0" fontId="0" fillId="9" borderId="0" xfId="0" applyFill="1" applyBorder="1" applyAlignment="1"/>
    <xf numFmtId="9" fontId="16" fillId="5" borderId="0" xfId="0" applyNumberFormat="1" applyFont="1" applyFill="1" applyBorder="1" applyAlignment="1"/>
    <xf numFmtId="9" fontId="4" fillId="5" borderId="0" xfId="0" applyNumberFormat="1" applyFont="1" applyFill="1" applyBorder="1"/>
    <xf numFmtId="9" fontId="16" fillId="5" borderId="0" xfId="0" applyNumberFormat="1" applyFont="1" applyFill="1" applyBorder="1"/>
    <xf numFmtId="0" fontId="122" fillId="4" borderId="0" xfId="0" applyFont="1" applyFill="1" applyAlignment="1">
      <alignment vertical="center"/>
    </xf>
    <xf numFmtId="0" fontId="123" fillId="4" borderId="0" xfId="0" applyFont="1" applyFill="1" applyAlignment="1">
      <alignment horizontal="center" vertical="center"/>
    </xf>
    <xf numFmtId="0" fontId="122" fillId="4" borderId="0" xfId="0" applyFont="1" applyFill="1" applyBorder="1" applyAlignment="1">
      <alignment vertical="center"/>
    </xf>
    <xf numFmtId="0" fontId="124" fillId="4" borderId="0" xfId="0" applyFont="1" applyFill="1"/>
    <xf numFmtId="0" fontId="52" fillId="50" borderId="0" xfId="0" applyFont="1" applyFill="1" applyBorder="1" applyAlignment="1">
      <alignment horizontal="center" vertical="center"/>
    </xf>
    <xf numFmtId="0" fontId="0" fillId="50" borderId="15" xfId="0" applyFill="1" applyBorder="1" applyAlignment="1">
      <alignment vertical="center"/>
    </xf>
    <xf numFmtId="0" fontId="0" fillId="50" borderId="16" xfId="0" applyFill="1" applyBorder="1" applyAlignment="1">
      <alignment vertical="center"/>
    </xf>
    <xf numFmtId="0" fontId="0" fillId="50" borderId="17" xfId="0" applyFill="1" applyBorder="1" applyAlignment="1">
      <alignment vertical="center"/>
    </xf>
    <xf numFmtId="0" fontId="0" fillId="50" borderId="18" xfId="0" applyFill="1" applyBorder="1" applyAlignment="1">
      <alignment vertical="center"/>
    </xf>
    <xf numFmtId="0" fontId="65" fillId="50" borderId="0" xfId="0" applyFont="1" applyFill="1" applyBorder="1" applyAlignment="1">
      <alignment vertical="center"/>
    </xf>
    <xf numFmtId="0" fontId="0" fillId="50" borderId="0" xfId="0" applyFill="1" applyBorder="1" applyAlignment="1">
      <alignment vertical="center"/>
    </xf>
    <xf numFmtId="0" fontId="0" fillId="50" borderId="5" xfId="0" applyFill="1" applyBorder="1" applyAlignment="1">
      <alignment vertical="center"/>
    </xf>
    <xf numFmtId="0" fontId="121" fillId="50" borderId="0" xfId="0" applyFont="1" applyFill="1" applyBorder="1" applyAlignment="1">
      <alignment vertical="center"/>
    </xf>
    <xf numFmtId="0" fontId="4" fillId="50" borderId="0" xfId="0" applyFont="1" applyFill="1" applyBorder="1" applyAlignment="1">
      <alignment horizontal="center" vertical="center"/>
    </xf>
    <xf numFmtId="0" fontId="52" fillId="50" borderId="0" xfId="0" applyFont="1" applyFill="1" applyBorder="1" applyAlignment="1">
      <alignment vertical="center"/>
    </xf>
    <xf numFmtId="0" fontId="0" fillId="50" borderId="19" xfId="0" applyFill="1" applyBorder="1" applyAlignment="1">
      <alignment vertical="center"/>
    </xf>
    <xf numFmtId="0" fontId="0" fillId="50" borderId="20" xfId="0" applyFill="1" applyBorder="1" applyAlignment="1">
      <alignment vertical="center"/>
    </xf>
    <xf numFmtId="0" fontId="0" fillId="50" borderId="4" xfId="0" applyFill="1" applyBorder="1" applyAlignment="1">
      <alignment vertical="center"/>
    </xf>
    <xf numFmtId="0" fontId="0" fillId="4" borderId="75" xfId="0" applyFill="1" applyBorder="1"/>
    <xf numFmtId="0" fontId="0" fillId="4" borderId="76" xfId="0" applyFill="1" applyBorder="1"/>
    <xf numFmtId="0" fontId="0" fillId="4" borderId="78" xfId="0" applyFill="1" applyBorder="1"/>
    <xf numFmtId="0" fontId="0" fillId="4" borderId="80" xfId="0" applyFill="1" applyBorder="1"/>
    <xf numFmtId="0" fontId="0" fillId="4" borderId="81" xfId="0" applyFill="1" applyBorder="1"/>
    <xf numFmtId="0" fontId="63" fillId="4" borderId="74" xfId="0" applyFont="1" applyFill="1" applyBorder="1"/>
    <xf numFmtId="0" fontId="63" fillId="4" borderId="75" xfId="0" applyFont="1" applyFill="1" applyBorder="1"/>
    <xf numFmtId="0" fontId="63" fillId="4" borderId="77" xfId="0" applyFont="1" applyFill="1" applyBorder="1"/>
    <xf numFmtId="0" fontId="63" fillId="4" borderId="0" xfId="0" applyFont="1" applyFill="1" applyBorder="1"/>
    <xf numFmtId="0" fontId="63" fillId="4" borderId="79" xfId="0" applyFont="1" applyFill="1" applyBorder="1"/>
    <xf numFmtId="0" fontId="63" fillId="4" borderId="80" xfId="0" applyFont="1" applyFill="1" applyBorder="1"/>
    <xf numFmtId="0" fontId="64" fillId="4" borderId="0" xfId="0" applyFont="1" applyFill="1" applyBorder="1"/>
    <xf numFmtId="0" fontId="64" fillId="4" borderId="0" xfId="8" applyFont="1" applyFill="1" applyBorder="1"/>
    <xf numFmtId="0" fontId="66" fillId="4" borderId="0" xfId="0" applyFont="1" applyFill="1" applyBorder="1"/>
    <xf numFmtId="0" fontId="64" fillId="4" borderId="0" xfId="0" applyFont="1" applyFill="1" applyBorder="1" applyAlignment="1">
      <alignment horizontal="left"/>
    </xf>
    <xf numFmtId="0" fontId="37" fillId="4" borderId="0" xfId="0" applyFont="1" applyFill="1"/>
    <xf numFmtId="0" fontId="125" fillId="4" borderId="0" xfId="0" applyFont="1" applyFill="1"/>
    <xf numFmtId="0" fontId="37" fillId="4" borderId="0" xfId="0" applyFont="1" applyFill="1" applyBorder="1"/>
    <xf numFmtId="0" fontId="65" fillId="8" borderId="0" xfId="0" applyFont="1" applyFill="1" applyBorder="1" applyAlignment="1"/>
    <xf numFmtId="0" fontId="6" fillId="8" borderId="15" xfId="0" applyFont="1" applyFill="1" applyBorder="1"/>
    <xf numFmtId="0" fontId="62" fillId="8" borderId="16" xfId="0" applyFont="1" applyFill="1" applyBorder="1" applyAlignment="1"/>
    <xf numFmtId="2" fontId="6" fillId="14" borderId="72" xfId="7" applyNumberFormat="1" applyFont="1" applyFill="1" applyBorder="1" applyAlignment="1">
      <alignment horizontal="left" vertical="center" wrapText="1"/>
    </xf>
    <xf numFmtId="10" fontId="4" fillId="14" borderId="0" xfId="1" applyNumberFormat="1" applyFont="1" applyFill="1" applyBorder="1" applyAlignment="1">
      <alignment horizontal="center" vertical="center"/>
    </xf>
    <xf numFmtId="9" fontId="0" fillId="14" borderId="0" xfId="0" applyNumberFormat="1" applyFont="1" applyFill="1" applyAlignment="1">
      <alignment vertical="top" wrapText="1"/>
    </xf>
    <xf numFmtId="0" fontId="63" fillId="4" borderId="15" xfId="0" applyFont="1" applyFill="1" applyBorder="1"/>
    <xf numFmtId="0" fontId="6" fillId="4" borderId="16" xfId="0" applyFont="1" applyFill="1" applyBorder="1"/>
    <xf numFmtId="0" fontId="0" fillId="4" borderId="16" xfId="0" applyFont="1" applyFill="1" applyBorder="1"/>
    <xf numFmtId="0" fontId="6" fillId="4" borderId="16" xfId="0" applyFont="1" applyFill="1" applyBorder="1" applyAlignment="1"/>
    <xf numFmtId="0" fontId="126" fillId="4" borderId="0" xfId="0" applyFont="1" applyFill="1" applyProtection="1">
      <protection hidden="1"/>
    </xf>
    <xf numFmtId="9" fontId="16" fillId="7" borderId="0" xfId="1" applyFont="1" applyFill="1" applyProtection="1">
      <protection hidden="1"/>
    </xf>
    <xf numFmtId="9" fontId="0" fillId="14" borderId="0" xfId="1" applyFont="1" applyFill="1" applyAlignment="1">
      <alignment vertical="top" wrapText="1"/>
    </xf>
    <xf numFmtId="0" fontId="18" fillId="14" borderId="0" xfId="0" applyFont="1" applyFill="1" applyProtection="1">
      <protection hidden="1"/>
    </xf>
    <xf numFmtId="0" fontId="3" fillId="4" borderId="0" xfId="0" applyFont="1" applyFill="1" applyAlignment="1" applyProtection="1">
      <alignment horizontal="left"/>
      <protection hidden="1"/>
    </xf>
    <xf numFmtId="0" fontId="6" fillId="18" borderId="15" xfId="0" applyFont="1" applyFill="1" applyBorder="1" applyProtection="1">
      <protection hidden="1"/>
    </xf>
    <xf numFmtId="0" fontId="6" fillId="18" borderId="18" xfId="0" applyFont="1" applyFill="1" applyBorder="1" applyProtection="1">
      <protection hidden="1"/>
    </xf>
    <xf numFmtId="0" fontId="6" fillId="18" borderId="19" xfId="0" applyFont="1" applyFill="1" applyBorder="1" applyProtection="1">
      <protection hidden="1"/>
    </xf>
    <xf numFmtId="0" fontId="6" fillId="37" borderId="15" xfId="0" applyFont="1" applyFill="1" applyBorder="1" applyProtection="1">
      <protection hidden="1"/>
    </xf>
    <xf numFmtId="0" fontId="6" fillId="37" borderId="18" xfId="0" applyFont="1" applyFill="1" applyBorder="1" applyProtection="1">
      <protection hidden="1"/>
    </xf>
    <xf numFmtId="0" fontId="6" fillId="37" borderId="19" xfId="0" applyFont="1" applyFill="1" applyBorder="1" applyProtection="1">
      <protection hidden="1"/>
    </xf>
    <xf numFmtId="0" fontId="6" fillId="12" borderId="15" xfId="0" applyFont="1" applyFill="1" applyBorder="1" applyProtection="1">
      <protection hidden="1"/>
    </xf>
    <xf numFmtId="0" fontId="6" fillId="12" borderId="18" xfId="0" applyFont="1" applyFill="1" applyBorder="1" applyProtection="1">
      <protection hidden="1"/>
    </xf>
    <xf numFmtId="0" fontId="6" fillId="12" borderId="19" xfId="0" applyFont="1" applyFill="1" applyBorder="1" applyProtection="1">
      <protection hidden="1"/>
    </xf>
    <xf numFmtId="0" fontId="3" fillId="4" borderId="15" xfId="0" applyFont="1" applyFill="1" applyBorder="1" applyAlignment="1" applyProtection="1">
      <alignment wrapText="1"/>
      <protection hidden="1"/>
    </xf>
    <xf numFmtId="0" fontId="6" fillId="33" borderId="18" xfId="0" applyFont="1" applyFill="1" applyBorder="1" applyProtection="1">
      <protection hidden="1"/>
    </xf>
    <xf numFmtId="0" fontId="6" fillId="33" borderId="19" xfId="0" applyFont="1" applyFill="1" applyBorder="1" applyProtection="1">
      <protection hidden="1"/>
    </xf>
    <xf numFmtId="0" fontId="6" fillId="33" borderId="15" xfId="0" applyFont="1" applyFill="1" applyBorder="1" applyProtection="1">
      <protection hidden="1"/>
    </xf>
    <xf numFmtId="0" fontId="6" fillId="22" borderId="18" xfId="0" applyFont="1" applyFill="1" applyBorder="1" applyProtection="1">
      <protection hidden="1"/>
    </xf>
    <xf numFmtId="0" fontId="6" fillId="22" borderId="19" xfId="0" applyFont="1" applyFill="1" applyBorder="1" applyProtection="1">
      <protection hidden="1"/>
    </xf>
    <xf numFmtId="0" fontId="6" fillId="9" borderId="0" xfId="0" applyFont="1" applyFill="1" applyBorder="1" applyAlignment="1" applyProtection="1">
      <alignment horizontal="left" vertical="top" wrapText="1"/>
      <protection hidden="1"/>
    </xf>
    <xf numFmtId="0" fontId="6" fillId="22" borderId="15" xfId="0" applyFont="1" applyFill="1" applyBorder="1" applyProtection="1">
      <protection hidden="1"/>
    </xf>
    <xf numFmtId="0" fontId="6" fillId="15" borderId="15" xfId="0" applyFont="1" applyFill="1" applyBorder="1" applyProtection="1">
      <protection hidden="1"/>
    </xf>
    <xf numFmtId="0" fontId="6" fillId="15" borderId="18" xfId="0" applyFont="1" applyFill="1" applyBorder="1" applyProtection="1">
      <protection hidden="1"/>
    </xf>
    <xf numFmtId="0" fontId="6" fillId="15" borderId="19" xfId="0" applyFont="1" applyFill="1" applyBorder="1" applyProtection="1">
      <protection hidden="1"/>
    </xf>
    <xf numFmtId="9" fontId="40" fillId="7" borderId="17" xfId="1" applyFont="1" applyFill="1" applyBorder="1" applyAlignment="1" applyProtection="1">
      <alignment wrapText="1"/>
      <protection hidden="1"/>
    </xf>
    <xf numFmtId="9" fontId="40" fillId="7" borderId="5" xfId="1" applyFont="1" applyFill="1" applyBorder="1" applyAlignment="1" applyProtection="1">
      <alignment wrapText="1"/>
      <protection hidden="1"/>
    </xf>
    <xf numFmtId="9" fontId="40" fillId="7" borderId="4" xfId="1" applyFont="1" applyFill="1" applyBorder="1" applyAlignment="1" applyProtection="1">
      <alignment wrapText="1"/>
      <protection hidden="1"/>
    </xf>
    <xf numFmtId="9" fontId="3" fillId="4" borderId="0" xfId="1" applyFont="1" applyFill="1" applyAlignment="1" applyProtection="1">
      <alignment horizontal="left"/>
      <protection hidden="1"/>
    </xf>
    <xf numFmtId="9" fontId="11" fillId="7" borderId="17" xfId="1" applyFont="1" applyFill="1" applyBorder="1" applyAlignment="1" applyProtection="1">
      <alignment wrapText="1"/>
      <protection hidden="1"/>
    </xf>
    <xf numFmtId="9" fontId="11" fillId="7" borderId="5" xfId="1" applyFont="1" applyFill="1" applyBorder="1" applyAlignment="1" applyProtection="1">
      <alignment wrapText="1"/>
      <protection hidden="1"/>
    </xf>
    <xf numFmtId="9" fontId="11" fillId="7" borderId="4" xfId="1" applyFont="1" applyFill="1" applyBorder="1" applyAlignment="1" applyProtection="1">
      <alignment wrapText="1"/>
      <protection hidden="1"/>
    </xf>
    <xf numFmtId="9" fontId="37" fillId="4" borderId="0" xfId="1" applyFont="1" applyFill="1" applyAlignment="1" applyProtection="1">
      <alignment wrapText="1"/>
      <protection hidden="1"/>
    </xf>
    <xf numFmtId="9" fontId="3" fillId="4" borderId="17" xfId="1" applyFont="1" applyFill="1" applyBorder="1" applyAlignment="1" applyProtection="1">
      <alignment horizontal="left"/>
      <protection hidden="1"/>
    </xf>
    <xf numFmtId="0" fontId="22" fillId="45" borderId="0" xfId="0" applyFont="1" applyFill="1" applyProtection="1">
      <protection hidden="1"/>
    </xf>
    <xf numFmtId="9" fontId="6" fillId="4" borderId="0" xfId="1" applyFont="1" applyFill="1" applyAlignment="1" applyProtection="1">
      <alignment wrapText="1"/>
      <protection hidden="1"/>
    </xf>
    <xf numFmtId="0" fontId="128" fillId="4" borderId="0" xfId="0" applyFont="1" applyFill="1" applyProtection="1">
      <protection hidden="1"/>
    </xf>
    <xf numFmtId="0" fontId="6" fillId="14" borderId="18" xfId="0" applyFont="1" applyFill="1" applyBorder="1" applyAlignment="1" applyProtection="1">
      <alignment horizontal="right"/>
      <protection hidden="1"/>
    </xf>
    <xf numFmtId="0" fontId="6" fillId="14" borderId="19" xfId="0" applyFont="1" applyFill="1" applyBorder="1" applyAlignment="1" applyProtection="1">
      <alignment horizontal="right"/>
      <protection hidden="1"/>
    </xf>
    <xf numFmtId="9" fontId="11" fillId="7" borderId="5" xfId="0" applyNumberFormat="1" applyFont="1" applyFill="1" applyBorder="1" applyProtection="1">
      <protection hidden="1"/>
    </xf>
    <xf numFmtId="9" fontId="11" fillId="7" borderId="4" xfId="0" applyNumberFormat="1" applyFont="1" applyFill="1" applyBorder="1" applyProtection="1">
      <protection hidden="1"/>
    </xf>
    <xf numFmtId="0" fontId="128" fillId="4" borderId="0" xfId="0" applyFont="1" applyFill="1" applyAlignment="1" applyProtection="1">
      <alignment horizontal="center"/>
      <protection hidden="1"/>
    </xf>
    <xf numFmtId="9" fontId="40" fillId="7" borderId="0" xfId="1" applyFont="1" applyFill="1" applyBorder="1" applyAlignment="1" applyProtection="1">
      <alignment wrapText="1"/>
      <protection hidden="1"/>
    </xf>
    <xf numFmtId="9" fontId="40" fillId="7" borderId="16" xfId="1" applyFont="1" applyFill="1" applyBorder="1" applyAlignment="1" applyProtection="1">
      <alignment wrapText="1"/>
      <protection hidden="1"/>
    </xf>
    <xf numFmtId="9" fontId="40" fillId="7" borderId="20" xfId="1" applyFont="1" applyFill="1" applyBorder="1" applyAlignment="1" applyProtection="1">
      <alignment wrapText="1"/>
      <protection hidden="1"/>
    </xf>
    <xf numFmtId="0" fontId="16" fillId="51" borderId="0" xfId="0" applyFont="1" applyFill="1" applyAlignment="1" applyProtection="1">
      <alignment horizontal="left"/>
      <protection hidden="1"/>
    </xf>
    <xf numFmtId="164" fontId="4" fillId="51" borderId="0" xfId="7" applyFont="1" applyFill="1" applyBorder="1" applyAlignment="1" applyProtection="1">
      <protection hidden="1"/>
    </xf>
    <xf numFmtId="0" fontId="6" fillId="2" borderId="0" xfId="0" applyFont="1" applyFill="1" applyBorder="1" applyAlignment="1">
      <alignment horizontal="center" vertical="center"/>
    </xf>
    <xf numFmtId="0" fontId="16" fillId="5" borderId="0" xfId="0" applyFont="1" applyFill="1" applyBorder="1" applyAlignment="1">
      <alignment horizontal="center" vertical="center"/>
    </xf>
    <xf numFmtId="0" fontId="64" fillId="4" borderId="15" xfId="0" applyFont="1" applyFill="1" applyBorder="1" applyAlignment="1">
      <alignment horizontal="center" vertical="center" wrapText="1"/>
    </xf>
    <xf numFmtId="0" fontId="3" fillId="4" borderId="0" xfId="0" applyFont="1" applyFill="1" applyBorder="1" applyAlignment="1">
      <alignment horizontal="left" vertical="center"/>
    </xf>
    <xf numFmtId="0" fontId="0" fillId="8" borderId="0" xfId="0" applyFont="1" applyFill="1" applyAlignment="1">
      <alignment vertical="top" wrapText="1"/>
    </xf>
    <xf numFmtId="0" fontId="0" fillId="8" borderId="0" xfId="0" applyFont="1" applyFill="1" applyBorder="1" applyAlignment="1">
      <alignment horizontal="center" vertical="center"/>
    </xf>
    <xf numFmtId="0" fontId="0" fillId="14" borderId="0" xfId="0" applyFont="1" applyFill="1" applyBorder="1" applyAlignment="1">
      <alignment horizontal="left" vertical="center" wrapText="1"/>
    </xf>
    <xf numFmtId="0" fontId="0" fillId="14" borderId="0" xfId="0" applyFont="1" applyFill="1" applyBorder="1" applyAlignment="1">
      <alignment horizontal="left" vertical="center"/>
    </xf>
    <xf numFmtId="0" fontId="75" fillId="5" borderId="18" xfId="0" applyFont="1" applyFill="1" applyBorder="1" applyAlignment="1">
      <alignment horizontal="center" vertical="center"/>
    </xf>
    <xf numFmtId="0" fontId="18" fillId="5" borderId="0" xfId="0" applyFont="1" applyFill="1" applyBorder="1" applyAlignment="1">
      <alignment horizontal="left" vertical="center" wrapText="1"/>
    </xf>
    <xf numFmtId="0" fontId="0" fillId="14" borderId="0" xfId="0" applyFont="1" applyFill="1" applyBorder="1" applyAlignment="1">
      <alignment horizontal="center" vertical="center"/>
    </xf>
    <xf numFmtId="0" fontId="130" fillId="40" borderId="0" xfId="0" applyFont="1" applyFill="1" applyBorder="1" applyAlignment="1" applyProtection="1">
      <alignment wrapText="1"/>
      <protection hidden="1"/>
    </xf>
    <xf numFmtId="0" fontId="131" fillId="14" borderId="0" xfId="0" applyFont="1" applyFill="1" applyBorder="1" applyProtection="1">
      <protection hidden="1"/>
    </xf>
    <xf numFmtId="0" fontId="4" fillId="52" borderId="18" xfId="0" applyFont="1" applyFill="1" applyBorder="1" applyAlignment="1">
      <alignment horizontal="center" vertical="center"/>
    </xf>
    <xf numFmtId="0" fontId="4" fillId="52" borderId="19" xfId="0" applyFont="1" applyFill="1" applyBorder="1" applyAlignment="1">
      <alignment horizontal="center" vertical="center"/>
    </xf>
    <xf numFmtId="0" fontId="4" fillId="14" borderId="0" xfId="0" applyFont="1" applyFill="1" applyBorder="1"/>
    <xf numFmtId="0" fontId="132" fillId="14" borderId="0" xfId="0" applyFont="1" applyFill="1" applyBorder="1" applyAlignment="1">
      <alignment horizontal="center" vertical="center"/>
    </xf>
    <xf numFmtId="0" fontId="132" fillId="14" borderId="0" xfId="0" applyFont="1" applyFill="1" applyBorder="1"/>
    <xf numFmtId="9" fontId="40" fillId="14" borderId="17" xfId="1" applyFont="1" applyFill="1" applyBorder="1" applyAlignment="1" applyProtection="1">
      <alignment wrapText="1"/>
      <protection hidden="1"/>
    </xf>
    <xf numFmtId="9" fontId="40" fillId="14" borderId="5" xfId="1" applyFont="1" applyFill="1" applyBorder="1" applyAlignment="1" applyProtection="1">
      <alignment wrapText="1"/>
      <protection hidden="1"/>
    </xf>
    <xf numFmtId="9" fontId="40" fillId="14" borderId="0" xfId="1" applyFont="1" applyFill="1" applyBorder="1" applyAlignment="1" applyProtection="1">
      <alignment wrapText="1"/>
      <protection hidden="1"/>
    </xf>
    <xf numFmtId="9" fontId="40" fillId="14" borderId="20" xfId="1" applyFont="1" applyFill="1" applyBorder="1" applyAlignment="1" applyProtection="1">
      <alignment wrapText="1"/>
      <protection hidden="1"/>
    </xf>
    <xf numFmtId="0" fontId="54" fillId="14" borderId="0" xfId="0" applyFont="1" applyFill="1" applyProtection="1">
      <protection hidden="1"/>
    </xf>
    <xf numFmtId="0" fontId="16" fillId="16" borderId="16" xfId="8" applyFont="1" applyFill="1" applyBorder="1" applyAlignment="1">
      <alignment horizontal="left"/>
    </xf>
    <xf numFmtId="0" fontId="6" fillId="14" borderId="0" xfId="0" applyFont="1" applyFill="1" applyBorder="1" applyAlignment="1" applyProtection="1">
      <alignment wrapText="1"/>
      <protection hidden="1"/>
    </xf>
    <xf numFmtId="0" fontId="6" fillId="14" borderId="20" xfId="0" applyFont="1" applyFill="1" applyBorder="1" applyAlignment="1" applyProtection="1">
      <alignment wrapText="1"/>
      <protection hidden="1"/>
    </xf>
    <xf numFmtId="9" fontId="16" fillId="14" borderId="5" xfId="0" applyNumberFormat="1" applyFont="1" applyFill="1" applyBorder="1" applyProtection="1">
      <protection hidden="1"/>
    </xf>
    <xf numFmtId="9" fontId="16" fillId="14" borderId="4" xfId="0" applyNumberFormat="1" applyFont="1" applyFill="1" applyBorder="1" applyProtection="1">
      <protection hidden="1"/>
    </xf>
    <xf numFmtId="0" fontId="0" fillId="14" borderId="0" xfId="0" applyFont="1" applyFill="1" applyBorder="1" applyAlignment="1">
      <alignment horizontal="center" vertical="center"/>
    </xf>
    <xf numFmtId="0" fontId="0" fillId="10" borderId="0" xfId="0" applyFill="1" applyBorder="1" applyProtection="1">
      <protection hidden="1"/>
    </xf>
    <xf numFmtId="0" fontId="12" fillId="36" borderId="0" xfId="0" applyFont="1" applyFill="1" applyBorder="1" applyAlignment="1" applyProtection="1">
      <alignment vertical="center" wrapText="1"/>
      <protection hidden="1"/>
    </xf>
    <xf numFmtId="0" fontId="7" fillId="2" borderId="0" xfId="0" applyFont="1" applyFill="1" applyBorder="1" applyAlignment="1" applyProtection="1">
      <alignment vertical="top"/>
      <protection hidden="1"/>
    </xf>
    <xf numFmtId="9" fontId="16" fillId="2" borderId="0" xfId="0" applyNumberFormat="1" applyFont="1" applyFill="1" applyProtection="1">
      <protection hidden="1"/>
    </xf>
    <xf numFmtId="0" fontId="34" fillId="14" borderId="0" xfId="0" applyFont="1" applyFill="1" applyBorder="1" applyAlignment="1" applyProtection="1">
      <alignment wrapText="1"/>
      <protection hidden="1"/>
    </xf>
    <xf numFmtId="9" fontId="11" fillId="7" borderId="0" xfId="1" applyFont="1" applyFill="1" applyBorder="1" applyAlignment="1" applyProtection="1">
      <alignment wrapText="1"/>
      <protection hidden="1"/>
    </xf>
    <xf numFmtId="0" fontId="0" fillId="19" borderId="11" xfId="0" applyFill="1" applyBorder="1" applyProtection="1">
      <protection hidden="1"/>
    </xf>
    <xf numFmtId="0" fontId="133" fillId="2" borderId="0" xfId="0" applyFont="1" applyFill="1" applyAlignment="1">
      <alignment horizontal="right"/>
    </xf>
    <xf numFmtId="9" fontId="0" fillId="2" borderId="0" xfId="0" applyNumberFormat="1" applyFill="1" applyProtection="1">
      <protection hidden="1"/>
    </xf>
    <xf numFmtId="0" fontId="134" fillId="2" borderId="0" xfId="0" applyFont="1" applyFill="1" applyAlignment="1" applyProtection="1">
      <alignment horizontal="right"/>
      <protection hidden="1"/>
    </xf>
    <xf numFmtId="0" fontId="135" fillId="2" borderId="0" xfId="0" applyFont="1" applyFill="1" applyAlignment="1" applyProtection="1">
      <alignment horizontal="right"/>
      <protection hidden="1"/>
    </xf>
    <xf numFmtId="9" fontId="4" fillId="7" borderId="40" xfId="0" applyNumberFormat="1" applyFont="1" applyFill="1" applyBorder="1" applyProtection="1">
      <protection hidden="1"/>
    </xf>
    <xf numFmtId="9" fontId="4" fillId="14" borderId="39" xfId="0" applyNumberFormat="1" applyFont="1" applyFill="1" applyBorder="1" applyProtection="1">
      <protection hidden="1"/>
    </xf>
    <xf numFmtId="0" fontId="3" fillId="4" borderId="0" xfId="0" applyFont="1" applyFill="1" applyBorder="1" applyAlignment="1" applyProtection="1">
      <alignment horizontal="center" vertical="center" wrapText="1"/>
      <protection hidden="1"/>
    </xf>
    <xf numFmtId="0" fontId="21" fillId="4" borderId="0" xfId="0" applyFont="1" applyFill="1" applyBorder="1" applyProtection="1">
      <protection hidden="1"/>
    </xf>
    <xf numFmtId="0" fontId="10" fillId="6" borderId="0" xfId="0" applyFont="1" applyFill="1" applyBorder="1" applyAlignment="1" applyProtection="1">
      <alignment vertical="center"/>
      <protection hidden="1"/>
    </xf>
    <xf numFmtId="2" fontId="10" fillId="6" borderId="0" xfId="0" applyNumberFormat="1" applyFont="1" applyFill="1" applyBorder="1" applyAlignment="1" applyProtection="1">
      <alignment horizontal="center" vertical="center"/>
      <protection hidden="1"/>
    </xf>
    <xf numFmtId="0" fontId="7" fillId="6" borderId="0" xfId="0" applyFont="1" applyFill="1" applyBorder="1" applyAlignment="1" applyProtection="1">
      <alignment vertical="center" wrapText="1"/>
      <protection hidden="1"/>
    </xf>
    <xf numFmtId="0" fontId="7" fillId="3" borderId="0" xfId="0" applyFont="1" applyFill="1" applyBorder="1" applyAlignment="1" applyProtection="1">
      <alignment vertical="center" wrapText="1"/>
      <protection hidden="1"/>
    </xf>
    <xf numFmtId="0" fontId="7" fillId="6" borderId="0" xfId="0" applyFont="1" applyFill="1" applyBorder="1" applyAlignment="1" applyProtection="1">
      <alignment vertical="center"/>
      <protection hidden="1"/>
    </xf>
    <xf numFmtId="0" fontId="7" fillId="2" borderId="0" xfId="0" applyFont="1" applyFill="1" applyBorder="1" applyProtection="1">
      <protection hidden="1"/>
    </xf>
    <xf numFmtId="0" fontId="7" fillId="2" borderId="0" xfId="0" applyFont="1" applyFill="1" applyBorder="1" applyAlignment="1" applyProtection="1">
      <alignment wrapText="1"/>
      <protection hidden="1"/>
    </xf>
    <xf numFmtId="0" fontId="7" fillId="2" borderId="0" xfId="0" quotePrefix="1" applyFont="1" applyFill="1" applyBorder="1" applyAlignment="1" applyProtection="1">
      <alignment vertical="top"/>
      <protection hidden="1"/>
    </xf>
    <xf numFmtId="0" fontId="14" fillId="2" borderId="0" xfId="0" applyFont="1" applyFill="1" applyBorder="1" applyAlignment="1" applyProtection="1">
      <alignment vertical="top"/>
      <protection hidden="1"/>
    </xf>
    <xf numFmtId="0" fontId="10" fillId="2" borderId="0" xfId="0" applyFont="1" applyFill="1" applyBorder="1" applyAlignment="1" applyProtection="1">
      <alignment horizontal="center"/>
      <protection hidden="1"/>
    </xf>
    <xf numFmtId="0" fontId="10" fillId="2" borderId="0" xfId="0" applyFont="1" applyFill="1" applyBorder="1" applyProtection="1">
      <protection hidden="1"/>
    </xf>
    <xf numFmtId="167" fontId="10" fillId="2" borderId="0" xfId="0" applyNumberFormat="1" applyFont="1" applyFill="1" applyBorder="1" applyProtection="1">
      <protection hidden="1"/>
    </xf>
    <xf numFmtId="0" fontId="21" fillId="4" borderId="0" xfId="0" applyFont="1" applyFill="1" applyBorder="1" applyAlignment="1" applyProtection="1">
      <alignment horizontal="center"/>
      <protection hidden="1"/>
    </xf>
    <xf numFmtId="0" fontId="136" fillId="2" borderId="0" xfId="0" applyFont="1" applyFill="1" applyBorder="1" applyAlignment="1">
      <alignment vertical="center"/>
    </xf>
    <xf numFmtId="0" fontId="63" fillId="2" borderId="0" xfId="0" applyFont="1" applyFill="1"/>
    <xf numFmtId="0" fontId="54" fillId="2" borderId="0" xfId="0" applyFont="1" applyFill="1"/>
    <xf numFmtId="0" fontId="0" fillId="5" borderId="0" xfId="0" applyFill="1"/>
    <xf numFmtId="0" fontId="15" fillId="5" borderId="0" xfId="0" applyFont="1" applyFill="1" applyBorder="1" applyAlignment="1">
      <alignment vertical="center"/>
    </xf>
    <xf numFmtId="0" fontId="52" fillId="14" borderId="82" xfId="0" applyFont="1" applyFill="1" applyBorder="1" applyAlignment="1">
      <alignment vertical="top"/>
    </xf>
    <xf numFmtId="0" fontId="54" fillId="14" borderId="82" xfId="0" applyFont="1" applyFill="1" applyBorder="1" applyAlignment="1">
      <alignment vertical="top"/>
    </xf>
    <xf numFmtId="0" fontId="27" fillId="14" borderId="82" xfId="0" applyFont="1" applyFill="1" applyBorder="1" applyAlignment="1">
      <alignment vertical="top" wrapText="1"/>
    </xf>
    <xf numFmtId="0" fontId="3" fillId="4" borderId="15" xfId="0" applyFont="1" applyFill="1" applyBorder="1" applyAlignment="1" applyProtection="1">
      <alignment horizontal="right" wrapText="1"/>
      <protection hidden="1"/>
    </xf>
    <xf numFmtId="0" fontId="3" fillId="4" borderId="16" xfId="0" applyFont="1" applyFill="1" applyBorder="1" applyAlignment="1" applyProtection="1">
      <alignment horizontal="center" wrapText="1"/>
      <protection hidden="1"/>
    </xf>
    <xf numFmtId="0" fontId="3" fillId="4" borderId="17" xfId="0" applyFont="1" applyFill="1" applyBorder="1" applyAlignment="1" applyProtection="1">
      <alignment horizontal="center" wrapText="1"/>
      <protection hidden="1"/>
    </xf>
    <xf numFmtId="0" fontId="26" fillId="14" borderId="18" xfId="0" applyFont="1" applyFill="1" applyBorder="1" applyAlignment="1">
      <alignment horizontal="center" vertical="top"/>
    </xf>
    <xf numFmtId="0" fontId="4" fillId="14" borderId="18" xfId="0" applyFont="1" applyFill="1" applyBorder="1" applyAlignment="1">
      <alignment horizontal="center" vertical="top"/>
    </xf>
    <xf numFmtId="0" fontId="26" fillId="14" borderId="5" xfId="0" applyFont="1" applyFill="1" applyBorder="1" applyAlignment="1">
      <alignment vertical="top" wrapText="1"/>
    </xf>
    <xf numFmtId="0" fontId="68" fillId="2" borderId="0" xfId="0" applyFont="1" applyFill="1" applyBorder="1" applyAlignment="1">
      <alignment vertical="center" wrapText="1"/>
    </xf>
    <xf numFmtId="0" fontId="26" fillId="14" borderId="5" xfId="0" applyFont="1" applyFill="1" applyBorder="1" applyAlignment="1">
      <alignment vertical="top"/>
    </xf>
    <xf numFmtId="9" fontId="16" fillId="7" borderId="0" xfId="0" applyNumberFormat="1" applyFont="1" applyFill="1" applyBorder="1" applyAlignment="1">
      <alignment horizontal="center"/>
    </xf>
    <xf numFmtId="0" fontId="54" fillId="14" borderId="82" xfId="0" applyFont="1" applyFill="1" applyBorder="1" applyAlignment="1">
      <alignment vertical="top" wrapText="1"/>
    </xf>
    <xf numFmtId="0" fontId="3" fillId="4" borderId="15" xfId="0" applyFont="1" applyFill="1" applyBorder="1" applyAlignment="1" applyProtection="1">
      <alignment horizontal="center" vertical="center" wrapText="1"/>
      <protection hidden="1"/>
    </xf>
    <xf numFmtId="0" fontId="3" fillId="4" borderId="16" xfId="0" applyFont="1" applyFill="1" applyBorder="1" applyAlignment="1" applyProtection="1">
      <alignment horizontal="center" vertical="center" wrapText="1"/>
      <protection hidden="1"/>
    </xf>
    <xf numFmtId="0" fontId="3" fillId="4" borderId="17" xfId="0" applyFont="1" applyFill="1" applyBorder="1" applyAlignment="1" applyProtection="1">
      <alignment horizontal="center" vertical="center" wrapText="1"/>
      <protection hidden="1"/>
    </xf>
    <xf numFmtId="0" fontId="43" fillId="4" borderId="0" xfId="0" applyFont="1" applyFill="1" applyBorder="1" applyProtection="1">
      <protection hidden="1"/>
    </xf>
    <xf numFmtId="43" fontId="7" fillId="2" borderId="0" xfId="0" applyNumberFormat="1" applyFont="1" applyFill="1" applyBorder="1" applyProtection="1">
      <protection hidden="1"/>
    </xf>
    <xf numFmtId="10" fontId="7" fillId="2" borderId="0" xfId="1" applyNumberFormat="1" applyFont="1" applyFill="1" applyBorder="1" applyProtection="1">
      <protection hidden="1"/>
    </xf>
    <xf numFmtId="10" fontId="7" fillId="2" borderId="0" xfId="0" applyNumberFormat="1" applyFont="1" applyFill="1" applyBorder="1" applyProtection="1">
      <protection hidden="1"/>
    </xf>
    <xf numFmtId="0" fontId="0" fillId="20" borderId="0" xfId="0" applyFill="1" applyBorder="1" applyAlignment="1" applyProtection="1">
      <protection hidden="1"/>
    </xf>
    <xf numFmtId="0" fontId="12" fillId="19" borderId="0" xfId="0" applyFont="1" applyFill="1" applyBorder="1" applyAlignment="1" applyProtection="1">
      <alignment vertical="center" wrapText="1"/>
      <protection hidden="1"/>
    </xf>
    <xf numFmtId="0" fontId="19" fillId="4" borderId="15" xfId="0" applyFont="1" applyFill="1" applyBorder="1" applyAlignment="1" applyProtection="1">
      <alignment horizontal="center" vertical="center" wrapText="1"/>
      <protection hidden="1"/>
    </xf>
    <xf numFmtId="0" fontId="19" fillId="4" borderId="16" xfId="0" applyFont="1" applyFill="1" applyBorder="1" applyAlignment="1" applyProtection="1">
      <alignment horizontal="center" vertical="center" wrapText="1"/>
      <protection hidden="1"/>
    </xf>
    <xf numFmtId="0" fontId="19" fillId="4" borderId="17" xfId="0" applyFont="1" applyFill="1" applyBorder="1" applyAlignment="1" applyProtection="1">
      <alignment horizontal="center" vertical="center" wrapText="1"/>
      <protection hidden="1"/>
    </xf>
    <xf numFmtId="0" fontId="12" fillId="38" borderId="0" xfId="0" applyFont="1" applyFill="1" applyBorder="1" applyAlignment="1" applyProtection="1">
      <alignment vertical="center" wrapText="1"/>
      <protection hidden="1"/>
    </xf>
    <xf numFmtId="0" fontId="26" fillId="38" borderId="0" xfId="0" applyFont="1" applyFill="1" applyBorder="1" applyAlignment="1" applyProtection="1">
      <alignment vertical="top" wrapText="1"/>
      <protection hidden="1"/>
    </xf>
    <xf numFmtId="2" fontId="26" fillId="38" borderId="0" xfId="0" applyNumberFormat="1" applyFont="1" applyFill="1" applyBorder="1" applyAlignment="1" applyProtection="1">
      <alignment vertical="center"/>
      <protection hidden="1"/>
    </xf>
    <xf numFmtId="0" fontId="26" fillId="20" borderId="0" xfId="0" applyFont="1" applyFill="1" applyBorder="1" applyAlignment="1" applyProtection="1">
      <alignment vertical="center"/>
      <protection hidden="1"/>
    </xf>
    <xf numFmtId="0" fontId="26" fillId="19" borderId="0" xfId="0" applyFont="1" applyFill="1" applyBorder="1" applyAlignment="1" applyProtection="1">
      <alignment vertical="center" wrapText="1"/>
      <protection hidden="1"/>
    </xf>
    <xf numFmtId="0" fontId="26" fillId="38" borderId="0" xfId="0" applyFont="1" applyFill="1" applyBorder="1" applyAlignment="1" applyProtection="1">
      <alignment vertical="center" wrapText="1"/>
      <protection hidden="1"/>
    </xf>
    <xf numFmtId="0" fontId="12" fillId="20" borderId="28" xfId="0" applyFont="1" applyFill="1" applyBorder="1" applyAlignment="1" applyProtection="1">
      <alignment vertical="center" wrapText="1"/>
      <protection hidden="1"/>
    </xf>
    <xf numFmtId="0" fontId="26" fillId="20" borderId="28" xfId="0" applyFont="1" applyFill="1" applyBorder="1" applyAlignment="1" applyProtection="1">
      <alignment vertical="center" wrapText="1"/>
      <protection hidden="1"/>
    </xf>
    <xf numFmtId="0" fontId="12" fillId="20" borderId="82" xfId="0" applyFont="1" applyFill="1" applyBorder="1" applyAlignment="1" applyProtection="1">
      <alignment vertical="center" wrapText="1"/>
      <protection hidden="1"/>
    </xf>
    <xf numFmtId="0" fontId="26" fillId="20" borderId="82" xfId="0" applyFont="1" applyFill="1" applyBorder="1" applyAlignment="1" applyProtection="1">
      <alignment vertical="center" wrapText="1"/>
      <protection hidden="1"/>
    </xf>
    <xf numFmtId="0" fontId="12" fillId="19" borderId="28" xfId="0" applyFont="1" applyFill="1" applyBorder="1" applyAlignment="1" applyProtection="1">
      <alignment vertical="center" wrapText="1"/>
      <protection hidden="1"/>
    </xf>
    <xf numFmtId="0" fontId="26" fillId="19" borderId="28" xfId="0" applyFont="1" applyFill="1" applyBorder="1" applyAlignment="1" applyProtection="1">
      <alignment vertical="center" wrapText="1"/>
      <protection hidden="1"/>
    </xf>
    <xf numFmtId="0" fontId="12" fillId="19" borderId="82" xfId="0" applyFont="1" applyFill="1" applyBorder="1" applyAlignment="1" applyProtection="1">
      <alignment vertical="center" wrapText="1"/>
      <protection hidden="1"/>
    </xf>
    <xf numFmtId="0" fontId="26" fillId="19" borderId="82" xfId="0" applyFont="1" applyFill="1" applyBorder="1" applyAlignment="1" applyProtection="1">
      <alignment vertical="center" wrapText="1"/>
      <protection hidden="1"/>
    </xf>
    <xf numFmtId="0" fontId="12" fillId="3" borderId="28" xfId="0" applyFont="1" applyFill="1" applyBorder="1" applyAlignment="1" applyProtection="1">
      <alignment vertical="center" wrapText="1"/>
      <protection hidden="1"/>
    </xf>
    <xf numFmtId="0" fontId="26" fillId="3" borderId="28" xfId="0" applyFont="1" applyFill="1" applyBorder="1" applyAlignment="1" applyProtection="1">
      <alignment vertical="center" wrapText="1"/>
      <protection hidden="1"/>
    </xf>
    <xf numFmtId="0" fontId="12" fillId="3" borderId="82" xfId="0" applyFont="1" applyFill="1" applyBorder="1" applyAlignment="1" applyProtection="1">
      <alignment vertical="center" wrapText="1"/>
      <protection hidden="1"/>
    </xf>
    <xf numFmtId="0" fontId="26" fillId="3" borderId="82" xfId="0" applyFont="1" applyFill="1" applyBorder="1" applyAlignment="1" applyProtection="1">
      <alignment vertical="center" wrapText="1"/>
      <protection hidden="1"/>
    </xf>
    <xf numFmtId="0" fontId="12" fillId="38" borderId="28" xfId="0" applyFont="1" applyFill="1" applyBorder="1" applyAlignment="1" applyProtection="1">
      <alignment vertical="center" wrapText="1"/>
      <protection hidden="1"/>
    </xf>
    <xf numFmtId="0" fontId="26" fillId="38" borderId="28" xfId="0" applyFont="1" applyFill="1" applyBorder="1" applyAlignment="1" applyProtection="1">
      <alignment vertical="center" wrapText="1"/>
      <protection hidden="1"/>
    </xf>
    <xf numFmtId="0" fontId="26" fillId="38" borderId="82" xfId="0" applyFont="1" applyFill="1" applyBorder="1" applyAlignment="1" applyProtection="1">
      <alignment vertical="top" wrapText="1"/>
      <protection hidden="1"/>
    </xf>
    <xf numFmtId="2" fontId="26" fillId="38" borderId="82" xfId="0" applyNumberFormat="1" applyFont="1" applyFill="1" applyBorder="1" applyAlignment="1" applyProtection="1">
      <alignment vertical="center"/>
      <protection hidden="1"/>
    </xf>
    <xf numFmtId="0" fontId="12" fillId="38" borderId="82" xfId="0" applyFont="1" applyFill="1" applyBorder="1" applyAlignment="1" applyProtection="1">
      <alignment vertical="center" wrapText="1"/>
      <protection hidden="1"/>
    </xf>
    <xf numFmtId="0" fontId="26" fillId="38" borderId="82" xfId="0" applyFont="1" applyFill="1" applyBorder="1" applyAlignment="1" applyProtection="1">
      <alignment vertical="center" wrapText="1"/>
      <protection hidden="1"/>
    </xf>
    <xf numFmtId="0" fontId="45" fillId="17" borderId="28" xfId="0" applyFont="1" applyFill="1" applyBorder="1" applyAlignment="1" applyProtection="1">
      <alignment vertical="center" wrapText="1"/>
      <protection hidden="1"/>
    </xf>
    <xf numFmtId="0" fontId="26" fillId="17" borderId="28" xfId="0" applyFont="1" applyFill="1" applyBorder="1" applyAlignment="1" applyProtection="1">
      <alignment vertical="center" wrapText="1"/>
      <protection hidden="1"/>
    </xf>
    <xf numFmtId="0" fontId="45" fillId="17" borderId="82" xfId="0" applyFont="1" applyFill="1" applyBorder="1" applyAlignment="1" applyProtection="1">
      <alignment vertical="center" wrapText="1"/>
      <protection hidden="1"/>
    </xf>
    <xf numFmtId="0" fontId="26" fillId="17" borderId="82" xfId="0" applyFont="1" applyFill="1" applyBorder="1" applyAlignment="1" applyProtection="1">
      <alignment vertical="center" wrapText="1"/>
      <protection hidden="1"/>
    </xf>
    <xf numFmtId="0" fontId="45" fillId="6" borderId="28" xfId="0" applyFont="1" applyFill="1" applyBorder="1" applyAlignment="1" applyProtection="1">
      <alignment vertical="center" wrapText="1"/>
      <protection hidden="1"/>
    </xf>
    <xf numFmtId="0" fontId="26" fillId="6" borderId="28" xfId="0" applyFont="1" applyFill="1" applyBorder="1" applyAlignment="1" applyProtection="1">
      <alignment vertical="center" wrapText="1"/>
      <protection hidden="1"/>
    </xf>
    <xf numFmtId="0" fontId="45" fillId="6" borderId="82" xfId="0" applyFont="1" applyFill="1" applyBorder="1" applyAlignment="1" applyProtection="1">
      <alignment vertical="center" wrapText="1"/>
      <protection hidden="1"/>
    </xf>
    <xf numFmtId="0" fontId="26" fillId="6" borderId="82" xfId="0" applyFont="1" applyFill="1" applyBorder="1" applyAlignment="1" applyProtection="1">
      <alignment vertical="center" wrapText="1"/>
      <protection hidden="1"/>
    </xf>
    <xf numFmtId="0" fontId="38" fillId="14" borderId="32" xfId="0" applyFont="1" applyFill="1" applyBorder="1" applyAlignment="1" applyProtection="1">
      <alignment vertical="center" wrapText="1"/>
      <protection hidden="1"/>
    </xf>
    <xf numFmtId="0" fontId="38" fillId="14" borderId="84" xfId="0" applyFont="1" applyFill="1" applyBorder="1" applyAlignment="1" applyProtection="1">
      <alignment vertical="center" wrapText="1"/>
      <protection hidden="1"/>
    </xf>
    <xf numFmtId="0" fontId="38" fillId="14" borderId="18" xfId="0" applyFont="1" applyFill="1" applyBorder="1" applyAlignment="1" applyProtection="1">
      <alignment vertical="center" wrapText="1"/>
      <protection hidden="1"/>
    </xf>
    <xf numFmtId="0" fontId="19" fillId="4" borderId="16" xfId="0" applyFont="1" applyFill="1" applyBorder="1" applyAlignment="1" applyProtection="1">
      <alignment vertical="top"/>
      <protection hidden="1"/>
    </xf>
    <xf numFmtId="0" fontId="137" fillId="7" borderId="0" xfId="0" applyFont="1" applyFill="1" applyBorder="1" applyAlignment="1" applyProtection="1">
      <alignment vertical="top" wrapText="1"/>
      <protection hidden="1"/>
    </xf>
    <xf numFmtId="0" fontId="137" fillId="7" borderId="5" xfId="0" applyFont="1" applyFill="1" applyBorder="1" applyAlignment="1" applyProtection="1">
      <alignment vertical="top" wrapText="1"/>
      <protection hidden="1"/>
    </xf>
    <xf numFmtId="0" fontId="137" fillId="7" borderId="20" xfId="0" applyFont="1" applyFill="1" applyBorder="1" applyAlignment="1" applyProtection="1">
      <alignment vertical="top" wrapText="1"/>
      <protection hidden="1"/>
    </xf>
    <xf numFmtId="0" fontId="137" fillId="7" borderId="4" xfId="0" applyFont="1" applyFill="1" applyBorder="1" applyAlignment="1" applyProtection="1">
      <alignment vertical="top" wrapText="1"/>
      <protection hidden="1"/>
    </xf>
    <xf numFmtId="0" fontId="10" fillId="14" borderId="19" xfId="0" applyFont="1" applyFill="1" applyBorder="1" applyAlignment="1" applyProtection="1">
      <alignment vertical="center" wrapText="1"/>
      <protection hidden="1"/>
    </xf>
    <xf numFmtId="0" fontId="7" fillId="4" borderId="0" xfId="0" applyFont="1" applyFill="1" applyBorder="1" applyProtection="1">
      <protection hidden="1"/>
    </xf>
    <xf numFmtId="43" fontId="7" fillId="4" borderId="0" xfId="0" applyNumberFormat="1" applyFont="1" applyFill="1" applyBorder="1" applyProtection="1">
      <protection hidden="1"/>
    </xf>
    <xf numFmtId="10" fontId="7" fillId="4" borderId="0" xfId="1" applyNumberFormat="1" applyFont="1" applyFill="1" applyBorder="1" applyProtection="1">
      <protection hidden="1"/>
    </xf>
    <xf numFmtId="10" fontId="7" fillId="4" borderId="0" xfId="0" applyNumberFormat="1" applyFont="1" applyFill="1" applyBorder="1" applyProtection="1">
      <protection hidden="1"/>
    </xf>
    <xf numFmtId="0" fontId="10" fillId="2" borderId="16" xfId="0" applyFont="1" applyFill="1" applyBorder="1" applyProtection="1">
      <protection hidden="1"/>
    </xf>
    <xf numFmtId="0" fontId="86" fillId="2" borderId="17" xfId="0" applyFont="1" applyFill="1" applyBorder="1" applyProtection="1">
      <protection hidden="1"/>
    </xf>
    <xf numFmtId="0" fontId="10" fillId="14" borderId="15" xfId="0" applyFont="1" applyFill="1" applyBorder="1" applyAlignment="1" applyProtection="1">
      <alignment vertical="center" wrapText="1"/>
      <protection hidden="1"/>
    </xf>
    <xf numFmtId="0" fontId="7" fillId="14" borderId="16" xfId="0" applyFont="1" applyFill="1" applyBorder="1" applyAlignment="1" applyProtection="1">
      <alignment vertical="center" wrapText="1"/>
      <protection hidden="1"/>
    </xf>
    <xf numFmtId="0" fontId="7" fillId="14" borderId="17" xfId="0" applyFont="1" applyFill="1" applyBorder="1" applyAlignment="1" applyProtection="1">
      <alignment vertical="center" wrapText="1"/>
      <protection hidden="1"/>
    </xf>
    <xf numFmtId="0" fontId="17" fillId="20" borderId="32" xfId="0" applyFont="1" applyFill="1" applyBorder="1" applyAlignment="1" applyProtection="1">
      <alignment vertical="center"/>
      <protection hidden="1"/>
    </xf>
    <xf numFmtId="164" fontId="43" fillId="20" borderId="28" xfId="7" applyFont="1" applyFill="1" applyBorder="1" applyAlignment="1" applyProtection="1">
      <alignment vertical="center"/>
      <protection hidden="1"/>
    </xf>
    <xf numFmtId="2" fontId="47" fillId="20" borderId="28" xfId="7" applyNumberFormat="1" applyFont="1" applyFill="1" applyBorder="1" applyAlignment="1" applyProtection="1">
      <alignment vertical="center"/>
      <protection hidden="1"/>
    </xf>
    <xf numFmtId="0" fontId="16" fillId="20" borderId="33" xfId="0" applyFont="1" applyFill="1" applyBorder="1" applyAlignment="1" applyProtection="1">
      <alignment vertical="center" wrapText="1"/>
      <protection hidden="1"/>
    </xf>
    <xf numFmtId="0" fontId="17" fillId="20" borderId="84" xfId="0" applyFont="1" applyFill="1" applyBorder="1" applyAlignment="1" applyProtection="1">
      <alignment vertical="center"/>
      <protection hidden="1"/>
    </xf>
    <xf numFmtId="0" fontId="45" fillId="20" borderId="82" xfId="0" applyFont="1" applyFill="1" applyBorder="1" applyAlignment="1" applyProtection="1">
      <alignment vertical="center"/>
      <protection hidden="1"/>
    </xf>
    <xf numFmtId="164" fontId="43" fillId="20" borderId="82" xfId="7" applyFont="1" applyFill="1" applyBorder="1" applyAlignment="1" applyProtection="1">
      <alignment vertical="center"/>
      <protection hidden="1"/>
    </xf>
    <xf numFmtId="164" fontId="47" fillId="20" borderId="82" xfId="7" applyFont="1" applyFill="1" applyBorder="1" applyAlignment="1" applyProtection="1">
      <alignment vertical="center"/>
      <protection hidden="1"/>
    </xf>
    <xf numFmtId="0" fontId="16" fillId="20" borderId="85" xfId="0" applyFont="1" applyFill="1" applyBorder="1" applyAlignment="1" applyProtection="1">
      <alignment vertical="center" wrapText="1"/>
      <protection hidden="1"/>
    </xf>
    <xf numFmtId="0" fontId="26" fillId="8" borderId="18" xfId="0" applyFont="1" applyFill="1" applyBorder="1" applyAlignment="1" applyProtection="1">
      <alignment vertical="center"/>
      <protection hidden="1"/>
    </xf>
    <xf numFmtId="0" fontId="26" fillId="8" borderId="0" xfId="0" applyFont="1" applyFill="1" applyBorder="1" applyAlignment="1" applyProtection="1">
      <alignment vertical="top"/>
      <protection hidden="1"/>
    </xf>
    <xf numFmtId="2" fontId="26" fillId="8" borderId="0" xfId="0" applyNumberFormat="1" applyFont="1" applyFill="1" applyBorder="1" applyAlignment="1" applyProtection="1">
      <protection hidden="1"/>
    </xf>
    <xf numFmtId="0" fontId="16" fillId="10" borderId="5" xfId="0" applyFont="1" applyFill="1" applyBorder="1" applyAlignment="1" applyProtection="1">
      <alignment vertical="center" wrapText="1"/>
      <protection hidden="1"/>
    </xf>
    <xf numFmtId="2" fontId="26" fillId="14" borderId="0" xfId="0" applyNumberFormat="1" applyFont="1" applyFill="1" applyBorder="1" applyAlignment="1" applyProtection="1">
      <alignment vertical="top" wrapText="1"/>
      <protection hidden="1"/>
    </xf>
    <xf numFmtId="0" fontId="17" fillId="19" borderId="32" xfId="0" applyFont="1" applyFill="1" applyBorder="1" applyAlignment="1" applyProtection="1">
      <alignment vertical="center"/>
      <protection hidden="1"/>
    </xf>
    <xf numFmtId="164" fontId="43" fillId="19" borderId="28" xfId="7" applyFont="1" applyFill="1" applyBorder="1" applyAlignment="1" applyProtection="1">
      <alignment vertical="center"/>
      <protection hidden="1"/>
    </xf>
    <xf numFmtId="164" fontId="47" fillId="19" borderId="28" xfId="7" applyFont="1" applyFill="1" applyBorder="1" applyAlignment="1" applyProtection="1">
      <alignment vertical="center"/>
      <protection hidden="1"/>
    </xf>
    <xf numFmtId="0" fontId="16" fillId="19" borderId="33" xfId="0" applyFont="1" applyFill="1" applyBorder="1" applyAlignment="1" applyProtection="1">
      <alignment vertical="center" wrapText="1"/>
      <protection hidden="1"/>
    </xf>
    <xf numFmtId="2" fontId="26" fillId="23" borderId="0" xfId="0" applyNumberFormat="1" applyFont="1" applyFill="1" applyBorder="1" applyAlignment="1" applyProtection="1">
      <alignment vertical="top" wrapText="1"/>
      <protection hidden="1"/>
    </xf>
    <xf numFmtId="0" fontId="17" fillId="19" borderId="18" xfId="0" applyFont="1" applyFill="1" applyBorder="1" applyAlignment="1" applyProtection="1">
      <alignment vertical="center"/>
      <protection hidden="1"/>
    </xf>
    <xf numFmtId="0" fontId="45" fillId="19" borderId="0" xfId="0" applyFont="1" applyFill="1" applyBorder="1" applyAlignment="1" applyProtection="1">
      <alignment vertical="center"/>
      <protection hidden="1"/>
    </xf>
    <xf numFmtId="164" fontId="43" fillId="19" borderId="0" xfId="7" applyFont="1" applyFill="1" applyBorder="1" applyAlignment="1" applyProtection="1">
      <alignment vertical="center"/>
      <protection hidden="1"/>
    </xf>
    <xf numFmtId="164" fontId="47" fillId="19" borderId="0" xfId="7" applyFont="1" applyFill="1" applyBorder="1" applyAlignment="1" applyProtection="1">
      <alignment vertical="center"/>
      <protection hidden="1"/>
    </xf>
    <xf numFmtId="0" fontId="16" fillId="19" borderId="5" xfId="0" applyFont="1" applyFill="1" applyBorder="1" applyAlignment="1" applyProtection="1">
      <alignment vertical="center" wrapText="1"/>
      <protection hidden="1"/>
    </xf>
    <xf numFmtId="0" fontId="17" fillId="19" borderId="84" xfId="0" applyFont="1" applyFill="1" applyBorder="1" applyAlignment="1" applyProtection="1">
      <alignment vertical="center"/>
      <protection hidden="1"/>
    </xf>
    <xf numFmtId="0" fontId="45" fillId="19" borderId="82" xfId="0" applyFont="1" applyFill="1" applyBorder="1" applyAlignment="1" applyProtection="1">
      <alignment vertical="center"/>
      <protection hidden="1"/>
    </xf>
    <xf numFmtId="164" fontId="43" fillId="19" borderId="82" xfId="7" applyFont="1" applyFill="1" applyBorder="1" applyAlignment="1" applyProtection="1">
      <alignment vertical="center"/>
      <protection hidden="1"/>
    </xf>
    <xf numFmtId="164" fontId="47" fillId="19" borderId="82" xfId="7" applyFont="1" applyFill="1" applyBorder="1" applyAlignment="1" applyProtection="1">
      <alignment vertical="center"/>
      <protection hidden="1"/>
    </xf>
    <xf numFmtId="0" fontId="16" fillId="19" borderId="85" xfId="0" applyFont="1" applyFill="1" applyBorder="1" applyAlignment="1" applyProtection="1">
      <alignment vertical="center" wrapText="1"/>
      <protection hidden="1"/>
    </xf>
    <xf numFmtId="0" fontId="17" fillId="3" borderId="32" xfId="0" applyFont="1" applyFill="1" applyBorder="1" applyAlignment="1" applyProtection="1">
      <alignment vertical="center"/>
      <protection hidden="1"/>
    </xf>
    <xf numFmtId="164" fontId="43" fillId="3" borderId="28" xfId="7" applyFont="1" applyFill="1" applyBorder="1" applyAlignment="1" applyProtection="1">
      <alignment vertical="center"/>
      <protection hidden="1"/>
    </xf>
    <xf numFmtId="164" fontId="47" fillId="3" borderId="28" xfId="7" applyFont="1" applyFill="1" applyBorder="1" applyAlignment="1" applyProtection="1">
      <alignment vertical="center"/>
      <protection hidden="1"/>
    </xf>
    <xf numFmtId="0" fontId="16" fillId="3" borderId="33" xfId="0" applyFont="1" applyFill="1" applyBorder="1" applyAlignment="1" applyProtection="1">
      <alignment vertical="center" wrapText="1"/>
      <protection hidden="1"/>
    </xf>
    <xf numFmtId="2" fontId="26" fillId="12" borderId="0" xfId="0" applyNumberFormat="1" applyFont="1" applyFill="1" applyBorder="1" applyAlignment="1" applyProtection="1">
      <alignment vertical="top" wrapText="1"/>
      <protection hidden="1"/>
    </xf>
    <xf numFmtId="0" fontId="17" fillId="3" borderId="84" xfId="0" applyFont="1" applyFill="1" applyBorder="1" applyAlignment="1" applyProtection="1">
      <alignment vertical="center"/>
      <protection hidden="1"/>
    </xf>
    <xf numFmtId="0" fontId="45" fillId="3" borderId="82" xfId="0" applyFont="1" applyFill="1" applyBorder="1" applyAlignment="1" applyProtection="1">
      <alignment vertical="center"/>
      <protection hidden="1"/>
    </xf>
    <xf numFmtId="164" fontId="43" fillId="3" borderId="82" xfId="7" applyFont="1" applyFill="1" applyBorder="1" applyAlignment="1" applyProtection="1">
      <alignment vertical="center"/>
      <protection hidden="1"/>
    </xf>
    <xf numFmtId="164" fontId="47" fillId="3" borderId="82" xfId="7" applyFont="1" applyFill="1" applyBorder="1" applyAlignment="1" applyProtection="1">
      <alignment vertical="center"/>
      <protection hidden="1"/>
    </xf>
    <xf numFmtId="0" fontId="16" fillId="3" borderId="85" xfId="0" applyFont="1" applyFill="1" applyBorder="1" applyAlignment="1" applyProtection="1">
      <alignment vertical="center" wrapText="1"/>
      <protection hidden="1"/>
    </xf>
    <xf numFmtId="0" fontId="27" fillId="8" borderId="18" xfId="0" applyFont="1" applyFill="1" applyBorder="1" applyAlignment="1" applyProtection="1">
      <alignment vertical="center"/>
      <protection hidden="1"/>
    </xf>
    <xf numFmtId="0" fontId="27" fillId="8" borderId="0" xfId="0" applyFont="1" applyFill="1" applyBorder="1" applyAlignment="1" applyProtection="1">
      <protection hidden="1"/>
    </xf>
    <xf numFmtId="2" fontId="27" fillId="8" borderId="0" xfId="0" applyNumberFormat="1" applyFont="1" applyFill="1" applyBorder="1" applyAlignment="1" applyProtection="1">
      <protection hidden="1"/>
    </xf>
    <xf numFmtId="0" fontId="17" fillId="38" borderId="32" xfId="0" applyFont="1" applyFill="1" applyBorder="1" applyAlignment="1" applyProtection="1">
      <alignment vertical="center"/>
      <protection hidden="1"/>
    </xf>
    <xf numFmtId="2" fontId="43" fillId="38" borderId="28" xfId="0" applyNumberFormat="1" applyFont="1" applyFill="1" applyBorder="1" applyAlignment="1" applyProtection="1">
      <alignment vertical="center" wrapText="1"/>
      <protection hidden="1"/>
    </xf>
    <xf numFmtId="164" fontId="43" fillId="38" borderId="28" xfId="7" applyFont="1" applyFill="1" applyBorder="1" applyAlignment="1" applyProtection="1">
      <alignment vertical="center"/>
      <protection hidden="1"/>
    </xf>
    <xf numFmtId="164" fontId="47" fillId="38" borderId="28" xfId="7" applyFont="1" applyFill="1" applyBorder="1" applyAlignment="1" applyProtection="1">
      <alignment vertical="center"/>
      <protection hidden="1"/>
    </xf>
    <xf numFmtId="0" fontId="16" fillId="38" borderId="33" xfId="0" applyFont="1" applyFill="1" applyBorder="1" applyAlignment="1" applyProtection="1">
      <alignment vertical="center" wrapText="1"/>
      <protection hidden="1"/>
    </xf>
    <xf numFmtId="0" fontId="17" fillId="38" borderId="18" xfId="0" applyFont="1" applyFill="1" applyBorder="1" applyAlignment="1" applyProtection="1">
      <alignment vertical="center"/>
      <protection hidden="1"/>
    </xf>
    <xf numFmtId="0" fontId="26" fillId="38" borderId="0" xfId="0" applyFont="1" applyFill="1" applyBorder="1" applyAlignment="1" applyProtection="1">
      <protection hidden="1"/>
    </xf>
    <xf numFmtId="2" fontId="27" fillId="38" borderId="0" xfId="0" applyNumberFormat="1" applyFont="1" applyFill="1" applyBorder="1" applyAlignment="1" applyProtection="1">
      <protection hidden="1"/>
    </xf>
    <xf numFmtId="164" fontId="47" fillId="38" borderId="0" xfId="7" applyFont="1" applyFill="1" applyBorder="1" applyAlignment="1" applyProtection="1">
      <alignment vertical="center"/>
      <protection hidden="1"/>
    </xf>
    <xf numFmtId="0" fontId="16" fillId="38" borderId="5" xfId="0" applyFont="1" applyFill="1" applyBorder="1" applyAlignment="1" applyProtection="1">
      <alignment vertical="center" wrapText="1"/>
      <protection hidden="1"/>
    </xf>
    <xf numFmtId="0" fontId="17" fillId="38" borderId="84" xfId="0" applyFont="1" applyFill="1" applyBorder="1" applyAlignment="1" applyProtection="1">
      <alignment vertical="center"/>
      <protection hidden="1"/>
    </xf>
    <xf numFmtId="0" fontId="26" fillId="38" borderId="82" xfId="0" applyFont="1" applyFill="1" applyBorder="1" applyAlignment="1" applyProtection="1">
      <protection hidden="1"/>
    </xf>
    <xf numFmtId="2" fontId="27" fillId="38" borderId="82" xfId="0" applyNumberFormat="1" applyFont="1" applyFill="1" applyBorder="1" applyAlignment="1" applyProtection="1">
      <protection hidden="1"/>
    </xf>
    <xf numFmtId="164" fontId="47" fillId="38" borderId="82" xfId="7" applyFont="1" applyFill="1" applyBorder="1" applyAlignment="1" applyProtection="1">
      <alignment vertical="center"/>
      <protection hidden="1"/>
    </xf>
    <xf numFmtId="0" fontId="16" fillId="38" borderId="85" xfId="0" applyFont="1" applyFill="1" applyBorder="1" applyAlignment="1" applyProtection="1">
      <alignment vertical="center" wrapText="1"/>
      <protection hidden="1"/>
    </xf>
    <xf numFmtId="0" fontId="17" fillId="8" borderId="18" xfId="0" applyFont="1" applyFill="1" applyBorder="1" applyAlignment="1" applyProtection="1">
      <alignment vertical="center"/>
      <protection hidden="1"/>
    </xf>
    <xf numFmtId="0" fontId="17" fillId="17" borderId="32" xfId="0" applyFont="1" applyFill="1" applyBorder="1" applyAlignment="1" applyProtection="1">
      <alignment vertical="center"/>
      <protection hidden="1"/>
    </xf>
    <xf numFmtId="2" fontId="43" fillId="17" borderId="28" xfId="0" applyNumberFormat="1" applyFont="1" applyFill="1" applyBorder="1" applyAlignment="1" applyProtection="1">
      <alignment vertical="top" wrapText="1"/>
      <protection hidden="1"/>
    </xf>
    <xf numFmtId="164" fontId="47" fillId="17" borderId="28" xfId="7" applyFont="1" applyFill="1" applyBorder="1" applyAlignment="1" applyProtection="1">
      <alignment vertical="center"/>
      <protection hidden="1"/>
    </xf>
    <xf numFmtId="0" fontId="16" fillId="17" borderId="33" xfId="0" applyFont="1" applyFill="1" applyBorder="1" applyAlignment="1" applyProtection="1">
      <alignment vertical="center" wrapText="1"/>
      <protection hidden="1"/>
    </xf>
    <xf numFmtId="0" fontId="17" fillId="17" borderId="0" xfId="0" applyFont="1" applyFill="1" applyBorder="1" applyAlignment="1" applyProtection="1">
      <alignment vertical="top"/>
      <protection hidden="1"/>
    </xf>
    <xf numFmtId="0" fontId="17" fillId="17" borderId="84" xfId="0" applyFont="1" applyFill="1" applyBorder="1" applyAlignment="1" applyProtection="1">
      <alignment vertical="center"/>
      <protection hidden="1"/>
    </xf>
    <xf numFmtId="0" fontId="45" fillId="17" borderId="82" xfId="0" applyFont="1" applyFill="1" applyBorder="1" applyAlignment="1" applyProtection="1">
      <alignment vertical="top" wrapText="1"/>
      <protection hidden="1"/>
    </xf>
    <xf numFmtId="2" fontId="43" fillId="17" borderId="82" xfId="0" applyNumberFormat="1" applyFont="1" applyFill="1" applyBorder="1" applyAlignment="1" applyProtection="1">
      <alignment vertical="top" wrapText="1"/>
      <protection hidden="1"/>
    </xf>
    <xf numFmtId="164" fontId="47" fillId="17" borderId="82" xfId="7" applyFont="1" applyFill="1" applyBorder="1" applyAlignment="1" applyProtection="1">
      <alignment vertical="center"/>
      <protection hidden="1"/>
    </xf>
    <xf numFmtId="0" fontId="16" fillId="17" borderId="85" xfId="0" applyFont="1" applyFill="1" applyBorder="1" applyAlignment="1" applyProtection="1">
      <alignment vertical="center" wrapText="1"/>
      <protection hidden="1"/>
    </xf>
    <xf numFmtId="0" fontId="27" fillId="8" borderId="0" xfId="0" applyFont="1" applyFill="1" applyBorder="1" applyAlignment="1" applyProtection="1">
      <alignment vertical="center"/>
      <protection hidden="1"/>
    </xf>
    <xf numFmtId="0" fontId="17" fillId="6" borderId="32" xfId="0" applyFont="1" applyFill="1" applyBorder="1" applyAlignment="1" applyProtection="1">
      <alignment vertical="center"/>
      <protection hidden="1"/>
    </xf>
    <xf numFmtId="2" fontId="43" fillId="6" borderId="28" xfId="0" applyNumberFormat="1" applyFont="1" applyFill="1" applyBorder="1" applyAlignment="1" applyProtection="1">
      <alignment vertical="top" wrapText="1"/>
      <protection hidden="1"/>
    </xf>
    <xf numFmtId="164" fontId="47" fillId="6" borderId="28" xfId="7" applyFont="1" applyFill="1" applyBorder="1" applyAlignment="1" applyProtection="1">
      <alignment vertical="center"/>
      <protection hidden="1"/>
    </xf>
    <xf numFmtId="0" fontId="16" fillId="6" borderId="33" xfId="0" applyFont="1" applyFill="1" applyBorder="1" applyAlignment="1" applyProtection="1">
      <alignment vertical="center" wrapText="1"/>
      <protection hidden="1"/>
    </xf>
    <xf numFmtId="0" fontId="17" fillId="15" borderId="0" xfId="0" applyFont="1" applyFill="1" applyBorder="1" applyAlignment="1" applyProtection="1">
      <alignment vertical="top"/>
      <protection hidden="1"/>
    </xf>
    <xf numFmtId="0" fontId="17" fillId="6" borderId="84" xfId="0" applyFont="1" applyFill="1" applyBorder="1" applyAlignment="1" applyProtection="1">
      <alignment vertical="center"/>
      <protection hidden="1"/>
    </xf>
    <xf numFmtId="0" fontId="45" fillId="6" borderId="82" xfId="0" applyFont="1" applyFill="1" applyBorder="1" applyAlignment="1" applyProtection="1">
      <alignment vertical="top" wrapText="1"/>
      <protection hidden="1"/>
    </xf>
    <xf numFmtId="2" fontId="43" fillId="6" borderId="82" xfId="0" applyNumberFormat="1" applyFont="1" applyFill="1" applyBorder="1" applyAlignment="1" applyProtection="1">
      <alignment vertical="top" wrapText="1"/>
      <protection hidden="1"/>
    </xf>
    <xf numFmtId="164" fontId="47" fillId="6" borderId="82" xfId="7" applyFont="1" applyFill="1" applyBorder="1" applyAlignment="1" applyProtection="1">
      <alignment vertical="center"/>
      <protection hidden="1"/>
    </xf>
    <xf numFmtId="0" fontId="16" fillId="6" borderId="85" xfId="0" applyFont="1" applyFill="1" applyBorder="1" applyAlignment="1" applyProtection="1">
      <alignment vertical="center" wrapText="1"/>
      <protection hidden="1"/>
    </xf>
    <xf numFmtId="0" fontId="17" fillId="14" borderId="18" xfId="0" applyFont="1" applyFill="1" applyBorder="1" applyAlignment="1" applyProtection="1">
      <alignment vertical="top"/>
      <protection hidden="1"/>
    </xf>
    <xf numFmtId="0" fontId="17" fillId="14" borderId="0" xfId="0" applyFont="1" applyFill="1" applyBorder="1" applyAlignment="1" applyProtection="1">
      <alignment vertical="top"/>
      <protection hidden="1"/>
    </xf>
    <xf numFmtId="0" fontId="17" fillId="14" borderId="19" xfId="0" applyFont="1" applyFill="1" applyBorder="1" applyAlignment="1" applyProtection="1">
      <alignment vertical="top"/>
      <protection hidden="1"/>
    </xf>
    <xf numFmtId="0" fontId="17" fillId="14" borderId="20" xfId="0" applyFont="1" applyFill="1" applyBorder="1" applyAlignment="1" applyProtection="1">
      <alignment vertical="top"/>
      <protection hidden="1"/>
    </xf>
    <xf numFmtId="0" fontId="15" fillId="14" borderId="0" xfId="0" applyFont="1" applyFill="1"/>
    <xf numFmtId="0" fontId="16" fillId="16" borderId="16" xfId="0" applyFont="1" applyFill="1" applyBorder="1" applyAlignment="1">
      <alignment horizontal="right"/>
    </xf>
    <xf numFmtId="0" fontId="16" fillId="14" borderId="0" xfId="0" applyFont="1" applyFill="1" applyBorder="1" applyAlignment="1">
      <alignment horizontal="right" vertical="top"/>
    </xf>
    <xf numFmtId="0" fontId="16" fillId="14" borderId="0" xfId="0" applyFont="1" applyFill="1" applyBorder="1" applyAlignment="1">
      <alignment horizontal="right"/>
    </xf>
    <xf numFmtId="0" fontId="16" fillId="14" borderId="20" xfId="0" applyFont="1" applyFill="1" applyBorder="1" applyAlignment="1">
      <alignment horizontal="right"/>
    </xf>
    <xf numFmtId="0" fontId="108" fillId="30" borderId="0" xfId="0" applyFont="1" applyFill="1" applyBorder="1" applyAlignment="1" applyProtection="1">
      <alignment horizontal="center"/>
      <protection hidden="1"/>
    </xf>
    <xf numFmtId="0" fontId="63" fillId="4" borderId="0" xfId="0" applyFont="1" applyFill="1" applyAlignment="1">
      <alignment vertical="top"/>
    </xf>
    <xf numFmtId="0" fontId="63" fillId="4" borderId="0" xfId="0" applyFont="1" applyFill="1" applyAlignment="1">
      <alignment vertical="top" wrapText="1"/>
    </xf>
    <xf numFmtId="0" fontId="4" fillId="2" borderId="0" xfId="0" applyFont="1" applyFill="1" applyBorder="1" applyAlignment="1" applyProtection="1">
      <alignment horizontal="center"/>
      <protection hidden="1"/>
    </xf>
    <xf numFmtId="0" fontId="128" fillId="2" borderId="0" xfId="0" applyFont="1" applyFill="1" applyBorder="1" applyProtection="1">
      <protection hidden="1"/>
    </xf>
    <xf numFmtId="0" fontId="144" fillId="2" borderId="0" xfId="0" applyFont="1" applyFill="1" applyBorder="1" applyProtection="1">
      <protection hidden="1"/>
    </xf>
    <xf numFmtId="0" fontId="6" fillId="12" borderId="0" xfId="0" applyFont="1" applyFill="1" applyBorder="1" applyAlignment="1">
      <alignment vertical="center"/>
    </xf>
    <xf numFmtId="0" fontId="19" fillId="4" borderId="0" xfId="0" applyFont="1" applyFill="1" applyBorder="1" applyAlignment="1">
      <alignment horizontal="center" vertical="center"/>
    </xf>
    <xf numFmtId="0" fontId="19" fillId="4" borderId="0" xfId="0" applyFont="1" applyFill="1" applyBorder="1" applyAlignment="1">
      <alignment horizontal="left" vertical="center"/>
    </xf>
    <xf numFmtId="0" fontId="19" fillId="4" borderId="0" xfId="0" applyFont="1" applyFill="1" applyBorder="1" applyAlignment="1">
      <alignment vertical="center"/>
    </xf>
    <xf numFmtId="0" fontId="17" fillId="12" borderId="0" xfId="0" applyFont="1" applyFill="1" applyBorder="1" applyAlignment="1">
      <alignment horizontal="right" vertical="center"/>
    </xf>
    <xf numFmtId="0" fontId="16" fillId="2" borderId="0" xfId="0" applyFont="1" applyFill="1" applyBorder="1" applyAlignment="1">
      <alignment horizontal="right" vertical="center"/>
    </xf>
    <xf numFmtId="0" fontId="7" fillId="4" borderId="0" xfId="0" applyFont="1" applyFill="1" applyBorder="1" applyAlignment="1" applyProtection="1">
      <alignment vertical="top"/>
      <protection hidden="1"/>
    </xf>
    <xf numFmtId="0" fontId="10" fillId="4" borderId="0" xfId="0" applyFont="1" applyFill="1" applyBorder="1" applyAlignment="1" applyProtection="1">
      <alignment vertical="top"/>
      <protection hidden="1"/>
    </xf>
    <xf numFmtId="0" fontId="7" fillId="4" borderId="0" xfId="0" applyFont="1" applyFill="1" applyBorder="1" applyAlignment="1" applyProtection="1">
      <alignment vertical="top" wrapText="1"/>
      <protection hidden="1"/>
    </xf>
    <xf numFmtId="0" fontId="64" fillId="4" borderId="0" xfId="0" applyFont="1" applyFill="1" applyBorder="1" applyAlignment="1" applyProtection="1">
      <alignment vertical="top"/>
      <protection hidden="1"/>
    </xf>
    <xf numFmtId="0" fontId="64" fillId="4" borderId="16" xfId="0" applyFont="1" applyFill="1" applyBorder="1" applyAlignment="1" applyProtection="1">
      <alignment vertical="top"/>
      <protection hidden="1"/>
    </xf>
    <xf numFmtId="0" fontId="0" fillId="11" borderId="0" xfId="0" applyFill="1" applyBorder="1" applyProtection="1">
      <protection hidden="1"/>
    </xf>
    <xf numFmtId="0" fontId="3" fillId="11" borderId="0" xfId="0" applyFont="1" applyFill="1" applyBorder="1" applyProtection="1">
      <protection hidden="1"/>
    </xf>
    <xf numFmtId="0" fontId="3" fillId="53" borderId="0" xfId="0" applyFont="1" applyFill="1" applyBorder="1" applyProtection="1">
      <protection hidden="1"/>
    </xf>
    <xf numFmtId="0" fontId="5" fillId="53" borderId="0" xfId="0" applyFont="1" applyFill="1" applyBorder="1" applyProtection="1">
      <protection hidden="1"/>
    </xf>
    <xf numFmtId="0" fontId="0" fillId="2" borderId="0" xfId="0" applyFont="1" applyFill="1" applyBorder="1" applyProtection="1">
      <protection hidden="1"/>
    </xf>
    <xf numFmtId="2" fontId="0" fillId="2" borderId="0" xfId="0" applyNumberFormat="1" applyFill="1" applyBorder="1" applyProtection="1">
      <protection hidden="1"/>
    </xf>
    <xf numFmtId="0" fontId="4" fillId="54" borderId="0" xfId="0" applyFont="1" applyFill="1" applyBorder="1" applyProtection="1">
      <protection hidden="1"/>
    </xf>
    <xf numFmtId="0" fontId="0" fillId="54" borderId="0" xfId="0" applyFill="1" applyBorder="1" applyProtection="1">
      <protection hidden="1"/>
    </xf>
    <xf numFmtId="2" fontId="0" fillId="54" borderId="0" xfId="0" applyNumberFormat="1" applyFill="1" applyBorder="1" applyProtection="1">
      <protection hidden="1"/>
    </xf>
    <xf numFmtId="164" fontId="4" fillId="54" borderId="0" xfId="0" applyNumberFormat="1" applyFont="1" applyFill="1" applyBorder="1" applyProtection="1">
      <protection hidden="1"/>
    </xf>
    <xf numFmtId="164" fontId="4" fillId="54" borderId="0" xfId="0" applyNumberFormat="1" applyFont="1" applyFill="1" applyBorder="1" applyAlignment="1" applyProtection="1">
      <protection hidden="1"/>
    </xf>
    <xf numFmtId="0" fontId="0" fillId="2" borderId="0" xfId="0" applyFont="1" applyFill="1" applyBorder="1" applyAlignment="1" applyProtection="1">
      <alignment horizontal="right"/>
      <protection hidden="1"/>
    </xf>
    <xf numFmtId="0" fontId="3" fillId="53" borderId="0" xfId="0" applyFont="1" applyFill="1" applyBorder="1" applyAlignment="1" applyProtection="1">
      <alignment horizontal="right"/>
      <protection hidden="1"/>
    </xf>
    <xf numFmtId="0" fontId="3" fillId="53" borderId="0" xfId="0" applyFont="1" applyFill="1" applyBorder="1" applyAlignment="1" applyProtection="1">
      <alignment horizontal="right" vertical="center"/>
      <protection hidden="1"/>
    </xf>
    <xf numFmtId="2" fontId="4" fillId="54" borderId="0" xfId="0" applyNumberFormat="1" applyFont="1" applyFill="1" applyBorder="1" applyProtection="1">
      <protection hidden="1"/>
    </xf>
    <xf numFmtId="0" fontId="3" fillId="53" borderId="0" xfId="0" applyFont="1" applyFill="1" applyBorder="1" applyAlignment="1" applyProtection="1">
      <alignment horizontal="center"/>
      <protection hidden="1"/>
    </xf>
    <xf numFmtId="0" fontId="4" fillId="54" borderId="0" xfId="0" applyFont="1" applyFill="1" applyBorder="1" applyAlignment="1" applyProtection="1">
      <alignment horizontal="center"/>
      <protection hidden="1"/>
    </xf>
    <xf numFmtId="0" fontId="26" fillId="8" borderId="0" xfId="0" applyFont="1" applyFill="1" applyBorder="1" applyAlignment="1" applyProtection="1">
      <alignment horizontal="left" wrapText="1"/>
      <protection hidden="1"/>
    </xf>
    <xf numFmtId="0" fontId="26" fillId="8" borderId="0" xfId="0" applyFont="1" applyFill="1" applyBorder="1" applyAlignment="1" applyProtection="1">
      <alignment horizontal="left"/>
      <protection hidden="1"/>
    </xf>
    <xf numFmtId="0" fontId="27" fillId="8" borderId="0" xfId="0" applyFont="1" applyFill="1" applyBorder="1" applyAlignment="1" applyProtection="1">
      <alignment horizontal="left"/>
      <protection hidden="1"/>
    </xf>
    <xf numFmtId="2" fontId="27" fillId="8" borderId="0" xfId="0" applyNumberFormat="1" applyFont="1" applyFill="1" applyBorder="1" applyAlignment="1" applyProtection="1">
      <alignment horizontal="left"/>
      <protection hidden="1"/>
    </xf>
    <xf numFmtId="0" fontId="27" fillId="8" borderId="18" xfId="0" applyFont="1" applyFill="1" applyBorder="1" applyAlignment="1" applyProtection="1">
      <alignment horizontal="right"/>
      <protection hidden="1"/>
    </xf>
    <xf numFmtId="0" fontId="145" fillId="21" borderId="9" xfId="0" applyFont="1" applyFill="1" applyBorder="1" applyAlignment="1" applyProtection="1">
      <alignment wrapText="1"/>
      <protection hidden="1"/>
    </xf>
    <xf numFmtId="0" fontId="0" fillId="5" borderId="0" xfId="0" applyFont="1" applyFill="1" applyProtection="1">
      <protection hidden="1"/>
    </xf>
    <xf numFmtId="3" fontId="68" fillId="5" borderId="0" xfId="0" applyNumberFormat="1" applyFont="1" applyFill="1" applyBorder="1" applyAlignment="1">
      <alignment horizontal="left"/>
    </xf>
    <xf numFmtId="0" fontId="5" fillId="9" borderId="27" xfId="0" applyFont="1" applyFill="1" applyBorder="1"/>
    <xf numFmtId="0" fontId="5" fillId="9" borderId="29" xfId="0" applyFont="1" applyFill="1" applyBorder="1"/>
    <xf numFmtId="0" fontId="5" fillId="9" borderId="30" xfId="0" applyFont="1" applyFill="1" applyBorder="1"/>
    <xf numFmtId="0" fontId="5" fillId="9" borderId="31" xfId="0" applyFont="1" applyFill="1" applyBorder="1"/>
    <xf numFmtId="0" fontId="5" fillId="9" borderId="73" xfId="0" applyFont="1" applyFill="1" applyBorder="1"/>
    <xf numFmtId="0" fontId="5" fillId="9" borderId="68" xfId="0" applyFont="1" applyFill="1" applyBorder="1"/>
    <xf numFmtId="0" fontId="10" fillId="14" borderId="42" xfId="0" applyFont="1" applyFill="1" applyBorder="1" applyAlignment="1" applyProtection="1">
      <alignment vertical="center" wrapText="1"/>
      <protection hidden="1"/>
    </xf>
    <xf numFmtId="0" fontId="7" fillId="14" borderId="43" xfId="0" applyFont="1" applyFill="1" applyBorder="1" applyAlignment="1" applyProtection="1">
      <alignment vertical="center" wrapText="1"/>
      <protection hidden="1"/>
    </xf>
    <xf numFmtId="0" fontId="7" fillId="14" borderId="3" xfId="0" applyFont="1" applyFill="1" applyBorder="1" applyAlignment="1" applyProtection="1">
      <alignment vertical="center" wrapText="1"/>
      <protection hidden="1"/>
    </xf>
    <xf numFmtId="0" fontId="138" fillId="7" borderId="3" xfId="0" applyFont="1" applyFill="1" applyBorder="1" applyAlignment="1" applyProtection="1">
      <alignment vertical="center" wrapText="1"/>
      <protection hidden="1"/>
    </xf>
    <xf numFmtId="0" fontId="10" fillId="14" borderId="18" xfId="0" applyFont="1" applyFill="1" applyBorder="1" applyAlignment="1" applyProtection="1">
      <alignment vertical="center" wrapText="1"/>
      <protection hidden="1"/>
    </xf>
    <xf numFmtId="0" fontId="7" fillId="14" borderId="5" xfId="0" applyFont="1" applyFill="1" applyBorder="1" applyAlignment="1" applyProtection="1">
      <alignment vertical="center" wrapText="1"/>
      <protection hidden="1"/>
    </xf>
    <xf numFmtId="0" fontId="138" fillId="7" borderId="5" xfId="0" applyFont="1" applyFill="1" applyBorder="1" applyAlignment="1" applyProtection="1">
      <alignment vertical="center" wrapText="1"/>
      <protection hidden="1"/>
    </xf>
    <xf numFmtId="0" fontId="38" fillId="26" borderId="15" xfId="0" applyFont="1" applyFill="1" applyBorder="1" applyProtection="1">
      <protection hidden="1"/>
    </xf>
    <xf numFmtId="0" fontId="14" fillId="26" borderId="16" xfId="0" applyFont="1" applyFill="1" applyBorder="1" applyProtection="1">
      <protection hidden="1"/>
    </xf>
    <xf numFmtId="0" fontId="7" fillId="26" borderId="17" xfId="0" applyFont="1" applyFill="1" applyBorder="1" applyProtection="1">
      <protection hidden="1"/>
    </xf>
    <xf numFmtId="0" fontId="0" fillId="5" borderId="40" xfId="0" applyFill="1" applyBorder="1" applyProtection="1">
      <protection hidden="1"/>
    </xf>
    <xf numFmtId="0" fontId="0" fillId="5" borderId="41" xfId="0" applyFill="1" applyBorder="1" applyAlignment="1" applyProtection="1">
      <protection hidden="1"/>
    </xf>
    <xf numFmtId="0" fontId="0" fillId="5" borderId="41" xfId="0" applyFill="1" applyBorder="1" applyProtection="1">
      <protection hidden="1"/>
    </xf>
    <xf numFmtId="0" fontId="0" fillId="5" borderId="39" xfId="0" applyFill="1" applyBorder="1" applyProtection="1">
      <protection hidden="1"/>
    </xf>
    <xf numFmtId="0" fontId="3" fillId="4" borderId="61" xfId="0" applyFont="1" applyFill="1" applyBorder="1" applyAlignment="1" applyProtection="1">
      <alignment horizontal="right"/>
      <protection hidden="1"/>
    </xf>
    <xf numFmtId="0" fontId="4" fillId="10" borderId="0" xfId="0" applyFont="1" applyFill="1" applyBorder="1" applyProtection="1">
      <protection hidden="1"/>
    </xf>
    <xf numFmtId="0" fontId="0" fillId="10" borderId="0" xfId="0" applyFill="1" applyBorder="1" applyAlignment="1" applyProtection="1">
      <alignment vertical="top"/>
      <protection hidden="1"/>
    </xf>
    <xf numFmtId="0" fontId="0" fillId="16" borderId="0" xfId="0" applyFill="1" applyBorder="1" applyProtection="1">
      <protection hidden="1"/>
    </xf>
    <xf numFmtId="0" fontId="4" fillId="16" borderId="0" xfId="0" applyFont="1" applyFill="1" applyBorder="1" applyProtection="1">
      <protection hidden="1"/>
    </xf>
    <xf numFmtId="0" fontId="0" fillId="16" borderId="0" xfId="0" applyFill="1" applyBorder="1" applyAlignment="1" applyProtection="1">
      <alignment vertical="top"/>
      <protection hidden="1"/>
    </xf>
    <xf numFmtId="0" fontId="7" fillId="5" borderId="4" xfId="0" applyFont="1" applyFill="1" applyBorder="1" applyAlignment="1" applyProtection="1">
      <alignment vertical="top" wrapText="1"/>
      <protection hidden="1"/>
    </xf>
    <xf numFmtId="0" fontId="7" fillId="5" borderId="20" xfId="0" applyFont="1" applyFill="1" applyBorder="1" applyProtection="1">
      <protection hidden="1"/>
    </xf>
    <xf numFmtId="0" fontId="14" fillId="4" borderId="0" xfId="0" applyFont="1" applyFill="1" applyBorder="1" applyAlignment="1" applyProtection="1">
      <alignment vertical="top" wrapText="1"/>
      <protection hidden="1"/>
    </xf>
    <xf numFmtId="0" fontId="64" fillId="2" borderId="0" xfId="0" applyFont="1" applyFill="1" applyBorder="1" applyAlignment="1" applyProtection="1">
      <alignment vertical="top"/>
      <protection hidden="1"/>
    </xf>
    <xf numFmtId="0" fontId="64" fillId="4" borderId="0" xfId="0" applyFont="1" applyFill="1" applyBorder="1" applyAlignment="1" applyProtection="1">
      <alignment horizontal="left" vertical="top"/>
      <protection hidden="1"/>
    </xf>
    <xf numFmtId="0" fontId="7" fillId="2" borderId="0" xfId="0" applyFont="1" applyFill="1" applyBorder="1" applyAlignment="1" applyProtection="1">
      <alignment horizontal="right"/>
      <protection hidden="1"/>
    </xf>
    <xf numFmtId="0" fontId="64" fillId="2" borderId="0" xfId="0" applyFont="1" applyFill="1" applyBorder="1" applyAlignment="1" applyProtection="1">
      <alignment horizontal="right" vertical="top"/>
      <protection hidden="1"/>
    </xf>
    <xf numFmtId="0" fontId="61" fillId="10" borderId="16" xfId="8" applyFill="1" applyBorder="1" applyAlignment="1"/>
    <xf numFmtId="0" fontId="18" fillId="28" borderId="15" xfId="0" applyFont="1" applyFill="1" applyBorder="1" applyAlignment="1">
      <alignment vertical="center"/>
    </xf>
    <xf numFmtId="0" fontId="18" fillId="10" borderId="15" xfId="0" applyFont="1" applyFill="1" applyBorder="1" applyAlignment="1">
      <alignment vertical="center"/>
    </xf>
    <xf numFmtId="0" fontId="61" fillId="23" borderId="16" xfId="8" applyFill="1" applyBorder="1" applyAlignment="1">
      <alignment vertical="center"/>
    </xf>
    <xf numFmtId="0" fontId="61" fillId="35" borderId="16" xfId="8" applyFill="1" applyBorder="1" applyAlignment="1"/>
    <xf numFmtId="0" fontId="18" fillId="35" borderId="15" xfId="0" applyFont="1" applyFill="1" applyBorder="1" applyAlignment="1">
      <alignment vertical="center"/>
    </xf>
    <xf numFmtId="0" fontId="61" fillId="33" borderId="16" xfId="8" applyFill="1" applyBorder="1" applyAlignment="1">
      <alignment vertical="center"/>
    </xf>
    <xf numFmtId="0" fontId="18" fillId="33" borderId="15" xfId="0" applyFont="1" applyFill="1" applyBorder="1" applyAlignment="1">
      <alignment vertical="center"/>
    </xf>
    <xf numFmtId="0" fontId="61" fillId="22" borderId="16" xfId="8" applyFill="1" applyBorder="1" applyAlignment="1">
      <alignment vertical="center"/>
    </xf>
    <xf numFmtId="0" fontId="18" fillId="22" borderId="15" xfId="0" applyFont="1" applyFill="1" applyBorder="1" applyAlignment="1">
      <alignment vertical="center"/>
    </xf>
    <xf numFmtId="0" fontId="61" fillId="28" borderId="16" xfId="8" applyFill="1" applyBorder="1" applyAlignment="1">
      <alignment vertical="center"/>
    </xf>
    <xf numFmtId="0" fontId="146" fillId="4" borderId="0" xfId="0" applyFont="1" applyFill="1" applyAlignment="1">
      <alignment vertical="center"/>
    </xf>
    <xf numFmtId="0" fontId="147" fillId="4" borderId="23" xfId="0" applyFont="1" applyFill="1" applyBorder="1" applyAlignment="1"/>
    <xf numFmtId="0" fontId="146" fillId="2" borderId="0" xfId="0" applyFont="1" applyFill="1" applyAlignment="1">
      <alignment vertical="center"/>
    </xf>
    <xf numFmtId="0" fontId="151" fillId="4" borderId="15" xfId="0" applyFont="1" applyFill="1" applyBorder="1" applyAlignment="1">
      <alignment vertical="center"/>
    </xf>
    <xf numFmtId="0" fontId="151" fillId="4" borderId="16" xfId="0" applyFont="1" applyFill="1" applyBorder="1" applyAlignment="1">
      <alignment vertical="center"/>
    </xf>
    <xf numFmtId="0" fontId="152" fillId="4" borderId="16" xfId="0" applyFont="1" applyFill="1" applyBorder="1" applyAlignment="1">
      <alignment horizontal="right" vertical="center"/>
    </xf>
    <xf numFmtId="0" fontId="152" fillId="4" borderId="46" xfId="0" applyFont="1" applyFill="1" applyBorder="1" applyAlignment="1">
      <alignment vertical="center"/>
    </xf>
    <xf numFmtId="0" fontId="146" fillId="4" borderId="16" xfId="0" applyFont="1" applyFill="1" applyBorder="1" applyAlignment="1">
      <alignment vertical="center"/>
    </xf>
    <xf numFmtId="0" fontId="153" fillId="4" borderId="16" xfId="0" applyFont="1" applyFill="1" applyBorder="1" applyAlignment="1" applyProtection="1">
      <alignment horizontal="center" vertical="center" wrapText="1"/>
    </xf>
    <xf numFmtId="0" fontId="146" fillId="4" borderId="17" xfId="0" applyFont="1" applyFill="1" applyBorder="1" applyAlignment="1">
      <alignment vertical="center"/>
    </xf>
    <xf numFmtId="0" fontId="151" fillId="4" borderId="18" xfId="0" applyFont="1" applyFill="1" applyBorder="1" applyAlignment="1">
      <alignment vertical="center"/>
    </xf>
    <xf numFmtId="0" fontId="151" fillId="4" borderId="0" xfId="0" applyFont="1" applyFill="1" applyBorder="1" applyAlignment="1">
      <alignment vertical="center"/>
    </xf>
    <xf numFmtId="0" fontId="152" fillId="4" borderId="0" xfId="0" applyFont="1" applyFill="1" applyBorder="1" applyAlignment="1">
      <alignment horizontal="right" vertical="center"/>
    </xf>
    <xf numFmtId="0" fontId="152" fillId="4" borderId="31" xfId="0" applyFont="1" applyFill="1" applyBorder="1" applyAlignment="1">
      <alignment vertical="center"/>
    </xf>
    <xf numFmtId="0" fontId="146" fillId="4" borderId="0" xfId="0" applyFont="1" applyFill="1" applyBorder="1" applyAlignment="1">
      <alignment vertical="center"/>
    </xf>
    <xf numFmtId="0" fontId="153" fillId="4" borderId="0" xfId="0" applyFont="1" applyFill="1" applyBorder="1" applyAlignment="1" applyProtection="1">
      <alignment horizontal="center" vertical="center" wrapText="1"/>
    </xf>
    <xf numFmtId="0" fontId="146" fillId="4" borderId="5" xfId="0" applyFont="1" applyFill="1" applyBorder="1" applyAlignment="1">
      <alignment vertical="center"/>
    </xf>
    <xf numFmtId="0" fontId="151" fillId="4" borderId="19" xfId="0" applyFont="1" applyFill="1" applyBorder="1" applyAlignment="1">
      <alignment vertical="center"/>
    </xf>
    <xf numFmtId="0" fontId="151" fillId="4" borderId="20" xfId="0" applyFont="1" applyFill="1" applyBorder="1" applyAlignment="1">
      <alignment vertical="center"/>
    </xf>
    <xf numFmtId="0" fontId="152" fillId="4" borderId="20" xfId="0" applyFont="1" applyFill="1" applyBorder="1" applyAlignment="1">
      <alignment horizontal="right" vertical="center"/>
    </xf>
    <xf numFmtId="0" fontId="152" fillId="4" borderId="51" xfId="0" applyFont="1" applyFill="1" applyBorder="1" applyAlignment="1">
      <alignment vertical="center"/>
    </xf>
    <xf numFmtId="0" fontId="146" fillId="4" borderId="20" xfId="0" applyFont="1" applyFill="1" applyBorder="1" applyAlignment="1">
      <alignment vertical="center"/>
    </xf>
    <xf numFmtId="0" fontId="153" fillId="4" borderId="20" xfId="0" applyFont="1" applyFill="1" applyBorder="1" applyAlignment="1" applyProtection="1">
      <alignment horizontal="center" vertical="center" wrapText="1"/>
    </xf>
    <xf numFmtId="0" fontId="146" fillId="4" borderId="4" xfId="0" applyFont="1" applyFill="1" applyBorder="1" applyAlignment="1">
      <alignment vertical="center"/>
    </xf>
    <xf numFmtId="0" fontId="155" fillId="4" borderId="18" xfId="0" applyFont="1" applyFill="1" applyBorder="1" applyAlignment="1">
      <alignment vertical="center"/>
    </xf>
    <xf numFmtId="0" fontId="155" fillId="0" borderId="15" xfId="0" applyFont="1" applyFill="1" applyBorder="1" applyAlignment="1">
      <alignment vertical="center"/>
    </xf>
    <xf numFmtId="0" fontId="155" fillId="0" borderId="16" xfId="0" applyFont="1" applyFill="1" applyBorder="1" applyAlignment="1">
      <alignment vertical="center"/>
    </xf>
    <xf numFmtId="0" fontId="152" fillId="0" borderId="16" xfId="0" applyFont="1" applyFill="1" applyBorder="1" applyAlignment="1" applyProtection="1">
      <alignment vertical="center"/>
    </xf>
    <xf numFmtId="0" fontId="152" fillId="0" borderId="17" xfId="0" applyFont="1" applyFill="1" applyBorder="1" applyAlignment="1" applyProtection="1">
      <alignment vertical="center"/>
    </xf>
    <xf numFmtId="0" fontId="156" fillId="4" borderId="0" xfId="0" applyFont="1" applyFill="1" applyBorder="1" applyAlignment="1">
      <alignment vertical="center" textRotation="255"/>
    </xf>
    <xf numFmtId="0" fontId="146" fillId="14" borderId="15" xfId="0" applyFont="1" applyFill="1" applyBorder="1" applyAlignment="1">
      <alignment vertical="center"/>
    </xf>
    <xf numFmtId="0" fontId="149" fillId="14" borderId="16" xfId="0" applyFont="1" applyFill="1" applyBorder="1" applyAlignment="1">
      <alignment vertical="center" wrapText="1"/>
    </xf>
    <xf numFmtId="0" fontId="146" fillId="14" borderId="16" xfId="0" applyFont="1" applyFill="1" applyBorder="1" applyAlignment="1">
      <alignment vertical="center"/>
    </xf>
    <xf numFmtId="0" fontId="146" fillId="14" borderId="17" xfId="0" applyFont="1" applyFill="1" applyBorder="1" applyAlignment="1">
      <alignment vertical="center"/>
    </xf>
    <xf numFmtId="0" fontId="150" fillId="4" borderId="18" xfId="0" applyFont="1" applyFill="1" applyBorder="1" applyAlignment="1">
      <alignment vertical="center"/>
    </xf>
    <xf numFmtId="0" fontId="150" fillId="0" borderId="18" xfId="0" applyFont="1" applyFill="1" applyBorder="1" applyAlignment="1">
      <alignment vertical="center"/>
    </xf>
    <xf numFmtId="0" fontId="150" fillId="0" borderId="5" xfId="0" applyFont="1" applyFill="1" applyBorder="1" applyAlignment="1">
      <alignment horizontal="center" vertical="center"/>
    </xf>
    <xf numFmtId="0" fontId="149" fillId="14" borderId="18" xfId="0" applyFont="1" applyFill="1" applyBorder="1" applyAlignment="1">
      <alignment vertical="center"/>
    </xf>
    <xf numFmtId="0" fontId="149" fillId="14" borderId="0" xfId="0" applyFont="1" applyFill="1" applyBorder="1" applyAlignment="1">
      <alignment vertical="center"/>
    </xf>
    <xf numFmtId="0" fontId="146" fillId="14" borderId="0" xfId="0" applyFont="1" applyFill="1" applyBorder="1" applyAlignment="1">
      <alignment vertical="center"/>
    </xf>
    <xf numFmtId="0" fontId="149" fillId="14" borderId="5" xfId="0" applyFont="1" applyFill="1" applyBorder="1" applyAlignment="1">
      <alignment vertical="center"/>
    </xf>
    <xf numFmtId="0" fontId="146" fillId="4" borderId="18" xfId="0" applyFont="1" applyFill="1" applyBorder="1" applyAlignment="1">
      <alignment vertical="center"/>
    </xf>
    <xf numFmtId="0" fontId="146" fillId="0" borderId="18" xfId="0" applyFont="1" applyFill="1" applyBorder="1" applyAlignment="1">
      <alignment vertical="center"/>
    </xf>
    <xf numFmtId="0" fontId="157" fillId="0" borderId="0" xfId="0" applyFont="1" applyFill="1" applyBorder="1" applyAlignment="1">
      <alignment vertical="center"/>
    </xf>
    <xf numFmtId="0" fontId="154" fillId="0" borderId="5" xfId="0" applyFont="1" applyFill="1" applyBorder="1" applyAlignment="1" applyProtection="1">
      <alignment vertical="center"/>
    </xf>
    <xf numFmtId="0" fontId="149" fillId="2" borderId="0" xfId="0" applyFont="1" applyFill="1" applyBorder="1" applyAlignment="1">
      <alignment vertical="center" wrapText="1"/>
    </xf>
    <xf numFmtId="0" fontId="154" fillId="0" borderId="5" xfId="0" applyFont="1" applyFill="1" applyBorder="1" applyAlignment="1" applyProtection="1">
      <alignment horizontal="center" vertical="center"/>
    </xf>
    <xf numFmtId="0" fontId="146" fillId="0" borderId="0" xfId="0" applyFont="1" applyFill="1" applyBorder="1" applyAlignment="1">
      <alignment vertical="center"/>
    </xf>
    <xf numFmtId="0" fontId="146" fillId="2" borderId="18" xfId="0" applyFont="1" applyFill="1" applyBorder="1" applyAlignment="1">
      <alignment vertical="center"/>
    </xf>
    <xf numFmtId="0" fontId="146" fillId="2" borderId="0" xfId="0" applyFont="1" applyFill="1" applyBorder="1" applyAlignment="1">
      <alignment vertical="center"/>
    </xf>
    <xf numFmtId="0" fontId="146" fillId="14" borderId="5" xfId="0" applyFont="1" applyFill="1" applyBorder="1" applyAlignment="1">
      <alignment vertical="center"/>
    </xf>
    <xf numFmtId="0" fontId="158" fillId="14" borderId="0" xfId="0" applyFont="1" applyFill="1" applyBorder="1" applyAlignment="1">
      <alignment vertical="center" wrapText="1"/>
    </xf>
    <xf numFmtId="0" fontId="158" fillId="14" borderId="0" xfId="0" applyFont="1" applyFill="1" applyBorder="1" applyAlignment="1">
      <alignment horizontal="left" vertical="center" wrapText="1"/>
    </xf>
    <xf numFmtId="0" fontId="158" fillId="14" borderId="18" xfId="0" applyFont="1" applyFill="1" applyBorder="1" applyAlignment="1">
      <alignment horizontal="left" vertical="center" wrapText="1"/>
    </xf>
    <xf numFmtId="0" fontId="146" fillId="0" borderId="5" xfId="0" applyFont="1" applyFill="1" applyBorder="1" applyAlignment="1">
      <alignment vertical="center"/>
    </xf>
    <xf numFmtId="0" fontId="157" fillId="5" borderId="18" xfId="0" applyFont="1" applyFill="1" applyBorder="1" applyAlignment="1">
      <alignment horizontal="left" vertical="center"/>
    </xf>
    <xf numFmtId="0" fontId="160" fillId="14" borderId="18" xfId="0" applyFont="1" applyFill="1" applyBorder="1" applyAlignment="1">
      <alignment horizontal="left" vertical="center" wrapText="1"/>
    </xf>
    <xf numFmtId="0" fontId="160" fillId="14" borderId="0" xfId="0" applyFont="1" applyFill="1" applyBorder="1" applyAlignment="1">
      <alignment horizontal="left" vertical="center" wrapText="1"/>
    </xf>
    <xf numFmtId="0" fontId="162" fillId="2" borderId="0" xfId="0" applyFont="1" applyFill="1" applyBorder="1" applyAlignment="1">
      <alignment vertical="center"/>
    </xf>
    <xf numFmtId="0" fontId="146" fillId="4" borderId="19" xfId="0" applyFont="1" applyFill="1" applyBorder="1" applyAlignment="1">
      <alignment vertical="center"/>
    </xf>
    <xf numFmtId="0" fontId="160" fillId="14" borderId="0" xfId="0" applyFont="1" applyFill="1" applyBorder="1" applyAlignment="1">
      <alignment horizontal="left" vertical="top" wrapText="1"/>
    </xf>
    <xf numFmtId="0" fontId="146" fillId="5" borderId="18" xfId="0" applyFont="1" applyFill="1" applyBorder="1" applyAlignment="1">
      <alignment vertical="center"/>
    </xf>
    <xf numFmtId="0" fontId="146" fillId="5" borderId="0" xfId="0" applyFont="1" applyFill="1" applyBorder="1" applyAlignment="1">
      <alignment vertical="center"/>
    </xf>
    <xf numFmtId="0" fontId="146" fillId="5" borderId="5" xfId="0" applyFont="1" applyFill="1" applyBorder="1" applyAlignment="1">
      <alignment vertical="center"/>
    </xf>
    <xf numFmtId="0" fontId="146" fillId="5" borderId="19" xfId="0" applyFont="1" applyFill="1" applyBorder="1" applyAlignment="1">
      <alignment vertical="center"/>
    </xf>
    <xf numFmtId="0" fontId="146" fillId="5" borderId="20" xfId="0" applyFont="1" applyFill="1" applyBorder="1" applyAlignment="1">
      <alignment vertical="center"/>
    </xf>
    <xf numFmtId="0" fontId="146" fillId="5" borderId="4" xfId="0" applyFont="1" applyFill="1" applyBorder="1" applyAlignment="1">
      <alignment vertical="center"/>
    </xf>
    <xf numFmtId="0" fontId="163" fillId="2" borderId="0" xfId="0" applyFont="1" applyFill="1" applyBorder="1" applyAlignment="1">
      <alignment horizontal="center" vertical="center"/>
    </xf>
    <xf numFmtId="0" fontId="164" fillId="2" borderId="0" xfId="0" applyFont="1" applyFill="1" applyBorder="1" applyAlignment="1">
      <alignment vertical="center"/>
    </xf>
    <xf numFmtId="0" fontId="162" fillId="2" borderId="0" xfId="0" applyFont="1" applyFill="1" applyBorder="1" applyAlignment="1">
      <alignment vertical="center" wrapText="1"/>
    </xf>
    <xf numFmtId="0" fontId="165" fillId="2" borderId="0" xfId="0" applyFont="1" applyFill="1" applyBorder="1" applyAlignment="1">
      <alignment vertical="center"/>
    </xf>
    <xf numFmtId="0" fontId="159" fillId="2" borderId="0" xfId="0" applyFont="1" applyFill="1" applyBorder="1" applyAlignment="1">
      <alignment vertical="center"/>
    </xf>
    <xf numFmtId="0" fontId="17" fillId="14" borderId="0" xfId="0" applyFont="1" applyFill="1" applyBorder="1" applyAlignment="1" applyProtection="1">
      <alignment horizontal="center" wrapText="1"/>
      <protection locked="0"/>
    </xf>
    <xf numFmtId="9" fontId="0" fillId="14" borderId="0" xfId="1" applyFont="1" applyFill="1" applyBorder="1" applyProtection="1">
      <protection hidden="1"/>
    </xf>
    <xf numFmtId="0" fontId="5" fillId="4" borderId="15" xfId="0" applyFont="1" applyFill="1" applyBorder="1" applyProtection="1">
      <protection hidden="1"/>
    </xf>
    <xf numFmtId="0" fontId="5" fillId="4" borderId="16" xfId="0" applyFont="1" applyFill="1" applyBorder="1" applyAlignment="1" applyProtection="1">
      <alignment horizontal="right"/>
      <protection hidden="1"/>
    </xf>
    <xf numFmtId="0" fontId="5" fillId="4" borderId="16" xfId="0" applyFont="1" applyFill="1" applyBorder="1" applyAlignment="1" applyProtection="1">
      <alignment wrapText="1"/>
      <protection hidden="1"/>
    </xf>
    <xf numFmtId="0" fontId="0" fillId="5" borderId="18" xfId="0" applyFont="1" applyFill="1" applyBorder="1" applyProtection="1">
      <protection hidden="1"/>
    </xf>
    <xf numFmtId="0" fontId="0" fillId="5" borderId="0" xfId="0" applyFont="1" applyFill="1" applyBorder="1" applyProtection="1">
      <protection hidden="1"/>
    </xf>
    <xf numFmtId="0" fontId="0" fillId="5" borderId="0" xfId="0" applyFont="1" applyFill="1" applyBorder="1" applyAlignment="1" applyProtection="1">
      <alignment horizontal="left"/>
      <protection hidden="1"/>
    </xf>
    <xf numFmtId="9" fontId="4" fillId="5" borderId="0" xfId="0" applyNumberFormat="1" applyFont="1" applyFill="1" applyBorder="1" applyAlignment="1" applyProtection="1">
      <alignment horizontal="right" wrapText="1"/>
      <protection hidden="1"/>
    </xf>
    <xf numFmtId="0" fontId="4" fillId="5" borderId="0" xfId="0" applyFont="1" applyFill="1" applyBorder="1" applyAlignment="1" applyProtection="1">
      <alignment horizontal="right"/>
      <protection hidden="1"/>
    </xf>
    <xf numFmtId="0" fontId="4" fillId="5" borderId="5" xfId="0" applyFont="1" applyFill="1" applyBorder="1" applyAlignment="1" applyProtection="1">
      <alignment horizontal="right"/>
      <protection hidden="1"/>
    </xf>
    <xf numFmtId="9" fontId="0" fillId="5" borderId="0" xfId="0" applyNumberFormat="1" applyFont="1" applyFill="1" applyBorder="1" applyAlignment="1" applyProtection="1">
      <alignment wrapText="1"/>
      <protection hidden="1"/>
    </xf>
    <xf numFmtId="168" fontId="0" fillId="5" borderId="0" xfId="0" applyNumberFormat="1" applyFont="1" applyFill="1" applyBorder="1" applyAlignment="1" applyProtection="1">
      <alignment wrapText="1"/>
      <protection hidden="1"/>
    </xf>
    <xf numFmtId="9" fontId="0" fillId="5" borderId="0" xfId="0" applyNumberFormat="1" applyFont="1" applyFill="1" applyBorder="1" applyProtection="1">
      <protection hidden="1"/>
    </xf>
    <xf numFmtId="0" fontId="0" fillId="5" borderId="5" xfId="0" applyFont="1" applyFill="1" applyBorder="1" applyProtection="1">
      <protection hidden="1"/>
    </xf>
    <xf numFmtId="0" fontId="0" fillId="5" borderId="20" xfId="0" applyFont="1" applyFill="1" applyBorder="1" applyAlignment="1" applyProtection="1">
      <alignment horizontal="left"/>
      <protection hidden="1"/>
    </xf>
    <xf numFmtId="0" fontId="0" fillId="5" borderId="20" xfId="0" applyFont="1" applyFill="1" applyBorder="1" applyAlignment="1" applyProtection="1">
      <alignment horizontal="right"/>
      <protection hidden="1"/>
    </xf>
    <xf numFmtId="10" fontId="0" fillId="5" borderId="20" xfId="0" applyNumberFormat="1" applyFont="1" applyFill="1" applyBorder="1" applyAlignment="1" applyProtection="1">
      <alignment wrapText="1"/>
      <protection hidden="1"/>
    </xf>
    <xf numFmtId="9" fontId="0" fillId="5" borderId="20" xfId="0" applyNumberFormat="1" applyFont="1" applyFill="1" applyBorder="1" applyProtection="1">
      <protection hidden="1"/>
    </xf>
    <xf numFmtId="0" fontId="0" fillId="5" borderId="4" xfId="0" applyFont="1" applyFill="1" applyBorder="1" applyProtection="1">
      <protection hidden="1"/>
    </xf>
    <xf numFmtId="0" fontId="31" fillId="4" borderId="0" xfId="0" applyFont="1" applyFill="1" applyBorder="1" applyAlignment="1" applyProtection="1">
      <alignment wrapText="1"/>
      <protection hidden="1"/>
    </xf>
    <xf numFmtId="2" fontId="16" fillId="10" borderId="0" xfId="0" applyNumberFormat="1" applyFont="1" applyFill="1" applyBorder="1" applyAlignment="1" applyProtection="1">
      <alignment horizontal="center"/>
      <protection hidden="1"/>
    </xf>
    <xf numFmtId="9" fontId="32" fillId="26" borderId="0" xfId="1" applyFont="1" applyFill="1" applyBorder="1" applyAlignment="1" applyProtection="1">
      <alignment horizontal="center"/>
      <protection hidden="1"/>
    </xf>
    <xf numFmtId="0" fontId="41" fillId="55" borderId="0" xfId="0" applyFont="1" applyFill="1" applyBorder="1" applyAlignment="1" applyProtection="1">
      <alignment horizontal="center" wrapText="1"/>
      <protection hidden="1"/>
    </xf>
    <xf numFmtId="0" fontId="6" fillId="5" borderId="19" xfId="0" applyFont="1" applyFill="1" applyBorder="1" applyProtection="1">
      <protection hidden="1"/>
    </xf>
    <xf numFmtId="2" fontId="16" fillId="18" borderId="0" xfId="0" applyNumberFormat="1" applyFont="1" applyFill="1" applyBorder="1" applyAlignment="1" applyProtection="1">
      <alignment horizontal="center"/>
      <protection hidden="1"/>
    </xf>
    <xf numFmtId="0" fontId="16" fillId="18" borderId="0" xfId="0" applyFont="1" applyFill="1" applyBorder="1" applyAlignment="1" applyProtection="1">
      <alignment horizontal="center"/>
      <protection hidden="1"/>
    </xf>
    <xf numFmtId="0" fontId="16" fillId="12" borderId="0" xfId="0" applyFont="1" applyFill="1" applyBorder="1" applyAlignment="1" applyProtection="1">
      <alignment horizontal="center"/>
      <protection hidden="1"/>
    </xf>
    <xf numFmtId="2" fontId="16" fillId="12" borderId="0" xfId="0" applyNumberFormat="1" applyFont="1" applyFill="1" applyBorder="1" applyAlignment="1" applyProtection="1">
      <alignment horizontal="center"/>
      <protection hidden="1"/>
    </xf>
    <xf numFmtId="2" fontId="16" fillId="51" borderId="0" xfId="0" applyNumberFormat="1" applyFont="1" applyFill="1" applyBorder="1" applyProtection="1">
      <protection hidden="1"/>
    </xf>
    <xf numFmtId="9" fontId="17" fillId="7" borderId="0" xfId="1" applyFont="1" applyFill="1" applyBorder="1" applyProtection="1">
      <protection hidden="1"/>
    </xf>
    <xf numFmtId="0" fontId="16" fillId="33" borderId="0" xfId="0" applyFont="1" applyFill="1" applyBorder="1" applyAlignment="1" applyProtection="1">
      <alignment horizontal="center"/>
      <protection hidden="1"/>
    </xf>
    <xf numFmtId="2" fontId="16" fillId="33" borderId="0" xfId="0" applyNumberFormat="1" applyFont="1" applyFill="1" applyBorder="1" applyAlignment="1" applyProtection="1">
      <alignment horizontal="center"/>
      <protection hidden="1"/>
    </xf>
    <xf numFmtId="0" fontId="166" fillId="4" borderId="0" xfId="0" applyFont="1" applyFill="1" applyBorder="1" applyAlignment="1" applyProtection="1">
      <alignment horizontal="left"/>
      <protection hidden="1"/>
    </xf>
    <xf numFmtId="9" fontId="22" fillId="4" borderId="0" xfId="7" applyNumberFormat="1" applyFont="1" applyFill="1" applyBorder="1" applyAlignment="1" applyProtection="1">
      <alignment horizontal="center" vertical="top" wrapText="1"/>
      <protection hidden="1"/>
    </xf>
    <xf numFmtId="9" fontId="16" fillId="7" borderId="0" xfId="0" applyNumberFormat="1" applyFont="1" applyFill="1" applyBorder="1" applyProtection="1">
      <protection hidden="1"/>
    </xf>
    <xf numFmtId="0" fontId="96" fillId="4" borderId="0" xfId="0" applyFont="1" applyFill="1" applyBorder="1" applyAlignment="1" applyProtection="1">
      <alignment horizontal="left"/>
      <protection hidden="1"/>
    </xf>
    <xf numFmtId="0" fontId="16" fillId="22" borderId="0" xfId="0" applyFont="1" applyFill="1" applyBorder="1" applyAlignment="1" applyProtection="1">
      <alignment horizontal="center"/>
      <protection hidden="1"/>
    </xf>
    <xf numFmtId="2" fontId="16" fillId="22" borderId="0" xfId="0" applyNumberFormat="1" applyFont="1" applyFill="1" applyBorder="1" applyAlignment="1" applyProtection="1">
      <alignment horizontal="center"/>
      <protection hidden="1"/>
    </xf>
    <xf numFmtId="0" fontId="16" fillId="15" borderId="0" xfId="0" applyFont="1" applyFill="1" applyBorder="1" applyAlignment="1" applyProtection="1">
      <alignment horizontal="center"/>
      <protection hidden="1"/>
    </xf>
    <xf numFmtId="2" fontId="16" fillId="15" borderId="0" xfId="0" applyNumberFormat="1" applyFont="1" applyFill="1" applyBorder="1" applyAlignment="1" applyProtection="1">
      <alignment horizontal="center"/>
      <protection hidden="1"/>
    </xf>
    <xf numFmtId="164" fontId="3" fillId="4" borderId="68" xfId="7" applyFont="1" applyFill="1" applyBorder="1" applyAlignment="1" applyProtection="1">
      <alignment vertical="center" wrapText="1"/>
      <protection hidden="1"/>
    </xf>
    <xf numFmtId="0" fontId="0" fillId="53" borderId="0" xfId="0" applyFill="1" applyBorder="1" applyProtection="1">
      <protection hidden="1"/>
    </xf>
    <xf numFmtId="0" fontId="0" fillId="2" borderId="0" xfId="0" applyFill="1" applyBorder="1" applyAlignment="1" applyProtection="1">
      <alignment horizontal="left" vertical="top"/>
      <protection hidden="1"/>
    </xf>
    <xf numFmtId="0" fontId="0" fillId="8" borderId="0" xfId="0" applyFill="1" applyBorder="1" applyAlignment="1" applyProtection="1">
      <alignment horizontal="left" vertical="top"/>
      <protection hidden="1"/>
    </xf>
    <xf numFmtId="0" fontId="0" fillId="8" borderId="0" xfId="0" applyFill="1" applyBorder="1" applyAlignment="1" applyProtection="1">
      <alignment horizontal="left" vertical="top" wrapText="1"/>
      <protection hidden="1"/>
    </xf>
    <xf numFmtId="0" fontId="0" fillId="26" borderId="0" xfId="0" applyFill="1" applyBorder="1" applyAlignment="1" applyProtection="1">
      <alignment horizontal="left" vertical="top"/>
      <protection hidden="1"/>
    </xf>
    <xf numFmtId="0" fontId="0" fillId="8" borderId="0" xfId="0" applyFill="1" applyBorder="1" applyAlignment="1" applyProtection="1">
      <alignment horizontal="center" vertical="top"/>
      <protection hidden="1"/>
    </xf>
    <xf numFmtId="0" fontId="5" fillId="53" borderId="0" xfId="0" applyFont="1" applyFill="1" applyBorder="1" applyAlignment="1" applyProtection="1">
      <alignment horizontal="center"/>
      <protection hidden="1"/>
    </xf>
    <xf numFmtId="0" fontId="0" fillId="26" borderId="0" xfId="0" applyFill="1" applyBorder="1" applyAlignment="1" applyProtection="1">
      <alignment horizontal="center" vertical="top"/>
      <protection hidden="1"/>
    </xf>
    <xf numFmtId="0" fontId="4" fillId="26" borderId="0" xfId="0" applyFont="1" applyFill="1" applyBorder="1" applyAlignment="1" applyProtection="1">
      <alignment horizontal="left" vertical="top"/>
      <protection hidden="1"/>
    </xf>
    <xf numFmtId="0" fontId="0" fillId="26" borderId="0" xfId="0" quotePrefix="1" applyFill="1" applyBorder="1" applyAlignment="1" applyProtection="1">
      <alignment horizontal="left" vertical="top"/>
      <protection hidden="1"/>
    </xf>
    <xf numFmtId="0" fontId="0" fillId="8" borderId="0" xfId="0" applyFont="1" applyFill="1" applyBorder="1" applyAlignment="1" applyProtection="1">
      <alignment horizontal="left" vertical="top"/>
      <protection hidden="1"/>
    </xf>
    <xf numFmtId="0" fontId="0" fillId="8" borderId="0" xfId="0" applyFont="1" applyFill="1" applyBorder="1" applyAlignment="1" applyProtection="1">
      <alignment horizontal="center" vertical="top"/>
      <protection hidden="1"/>
    </xf>
    <xf numFmtId="164" fontId="34" fillId="14" borderId="0" xfId="7" applyFont="1" applyFill="1" applyBorder="1" applyAlignment="1" applyProtection="1">
      <alignment horizontal="center"/>
      <protection hidden="1"/>
    </xf>
    <xf numFmtId="165" fontId="34" fillId="14" borderId="0" xfId="0" applyNumberFormat="1" applyFont="1" applyFill="1" applyBorder="1" applyAlignment="1" applyProtection="1">
      <alignment horizontal="right"/>
      <protection hidden="1"/>
    </xf>
    <xf numFmtId="0" fontId="15" fillId="14" borderId="18" xfId="0" applyFont="1" applyFill="1" applyBorder="1" applyAlignment="1">
      <alignment vertical="center"/>
    </xf>
    <xf numFmtId="0" fontId="16"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1" fillId="0" borderId="0" xfId="0" applyFont="1" applyFill="1" applyBorder="1" applyAlignment="1">
      <alignment vertical="center"/>
    </xf>
    <xf numFmtId="0" fontId="4" fillId="0" borderId="0" xfId="0" applyFont="1" applyFill="1" applyBorder="1" applyAlignment="1" applyProtection="1">
      <alignment horizontal="center" vertical="center"/>
    </xf>
    <xf numFmtId="0" fontId="16" fillId="8" borderId="42" xfId="8" applyFont="1" applyFill="1" applyBorder="1" applyAlignment="1">
      <alignment vertical="center"/>
    </xf>
    <xf numFmtId="0" fontId="16" fillId="8" borderId="43" xfId="8" applyFont="1" applyFill="1" applyBorder="1" applyAlignment="1">
      <alignment vertical="center"/>
    </xf>
    <xf numFmtId="0" fontId="15" fillId="8" borderId="3" xfId="8" applyFont="1" applyFill="1" applyBorder="1" applyAlignment="1">
      <alignment vertical="center"/>
    </xf>
    <xf numFmtId="0" fontId="16" fillId="0" borderId="0" xfId="0" applyFont="1" applyFill="1" applyBorder="1" applyAlignment="1">
      <alignment horizontal="right" vertical="center"/>
    </xf>
    <xf numFmtId="0" fontId="4" fillId="0" borderId="0" xfId="0" applyFont="1" applyFill="1" applyBorder="1" applyAlignment="1">
      <alignment horizontal="right" vertical="center"/>
    </xf>
    <xf numFmtId="2" fontId="6" fillId="10" borderId="0" xfId="0" applyNumberFormat="1" applyFont="1" applyFill="1" applyBorder="1" applyAlignment="1">
      <alignment horizontal="left" vertical="center"/>
    </xf>
    <xf numFmtId="0" fontId="1" fillId="5" borderId="21" xfId="0" applyFont="1" applyFill="1" applyBorder="1" applyAlignment="1">
      <alignment horizontal="left" vertical="center"/>
    </xf>
    <xf numFmtId="0" fontId="4" fillId="0" borderId="0" xfId="0" applyFont="1" applyFill="1" applyBorder="1" applyAlignment="1">
      <alignment horizontal="left" vertical="center"/>
    </xf>
    <xf numFmtId="0" fontId="4" fillId="5" borderId="0" xfId="0" applyFont="1" applyFill="1" applyBorder="1" applyAlignment="1">
      <alignment horizontal="right" vertical="center"/>
    </xf>
    <xf numFmtId="0" fontId="4" fillId="5" borderId="0" xfId="0" applyFont="1" applyFill="1" applyBorder="1" applyAlignment="1">
      <alignment horizontal="left" vertical="center"/>
    </xf>
    <xf numFmtId="9" fontId="1" fillId="10" borderId="25" xfId="1" applyFont="1" applyFill="1" applyBorder="1" applyAlignment="1">
      <alignment horizontal="right" vertical="center"/>
    </xf>
    <xf numFmtId="0" fontId="44" fillId="9" borderId="0" xfId="0" applyFont="1" applyFill="1"/>
    <xf numFmtId="0" fontId="5" fillId="56" borderId="0" xfId="0" applyFont="1" applyFill="1" applyProtection="1">
      <protection hidden="1"/>
    </xf>
    <xf numFmtId="164" fontId="5" fillId="56" borderId="0" xfId="7" applyFont="1" applyFill="1" applyProtection="1">
      <protection hidden="1"/>
    </xf>
    <xf numFmtId="0" fontId="3" fillId="56" borderId="0" xfId="0" applyFont="1" applyFill="1" applyAlignment="1" applyProtection="1">
      <alignment horizontal="center"/>
      <protection hidden="1"/>
    </xf>
    <xf numFmtId="0" fontId="5" fillId="56" borderId="0" xfId="0" applyFont="1" applyFill="1" applyAlignment="1" applyProtection="1">
      <alignment horizontal="center"/>
      <protection hidden="1"/>
    </xf>
    <xf numFmtId="0" fontId="3" fillId="56" borderId="0" xfId="0" applyFont="1" applyFill="1" applyProtection="1">
      <protection hidden="1"/>
    </xf>
    <xf numFmtId="0" fontId="3" fillId="56" borderId="0" xfId="0" applyFont="1" applyFill="1" applyAlignment="1" applyProtection="1">
      <alignment horizontal="right"/>
      <protection hidden="1"/>
    </xf>
    <xf numFmtId="164" fontId="16" fillId="28" borderId="0" xfId="7" applyFont="1" applyFill="1" applyBorder="1" applyProtection="1">
      <protection hidden="1"/>
    </xf>
    <xf numFmtId="0" fontId="5" fillId="11" borderId="0" xfId="0" applyFont="1" applyFill="1"/>
    <xf numFmtId="0" fontId="4" fillId="38" borderId="0" xfId="0" applyFont="1" applyFill="1" applyBorder="1" applyAlignment="1" applyProtection="1">
      <alignment vertical="top" wrapText="1"/>
      <protection hidden="1"/>
    </xf>
    <xf numFmtId="0" fontId="0" fillId="8" borderId="22" xfId="0" applyFont="1" applyFill="1" applyBorder="1" applyAlignment="1" applyProtection="1">
      <alignment horizontal="left" vertical="top"/>
      <protection hidden="1"/>
    </xf>
    <xf numFmtId="0" fontId="0" fillId="8" borderId="86" xfId="0" applyFill="1" applyBorder="1" applyAlignment="1" applyProtection="1">
      <alignment horizontal="left" vertical="top"/>
      <protection hidden="1"/>
    </xf>
    <xf numFmtId="0" fontId="4" fillId="26" borderId="22" xfId="0" applyFont="1" applyFill="1" applyBorder="1" applyAlignment="1" applyProtection="1">
      <alignment horizontal="left" vertical="top"/>
      <protection hidden="1"/>
    </xf>
    <xf numFmtId="0" fontId="0" fillId="26" borderId="86" xfId="0" applyFill="1" applyBorder="1" applyAlignment="1" applyProtection="1">
      <alignment horizontal="left" vertical="top"/>
      <protection hidden="1"/>
    </xf>
    <xf numFmtId="0" fontId="4" fillId="26" borderId="22" xfId="0" applyFont="1" applyFill="1" applyBorder="1" applyAlignment="1" applyProtection="1">
      <alignment horizontal="left" vertical="top" wrapText="1"/>
      <protection hidden="1"/>
    </xf>
    <xf numFmtId="0" fontId="0" fillId="20" borderId="0" xfId="0" applyFont="1" applyFill="1" applyBorder="1" applyAlignment="1" applyProtection="1">
      <alignment vertical="top"/>
      <protection hidden="1"/>
    </xf>
    <xf numFmtId="0" fontId="0" fillId="36" borderId="0" xfId="0" applyFont="1" applyFill="1" applyBorder="1" applyAlignment="1" applyProtection="1">
      <protection hidden="1"/>
    </xf>
    <xf numFmtId="0" fontId="4" fillId="36" borderId="0" xfId="0" applyFont="1" applyFill="1" applyBorder="1" applyAlignment="1" applyProtection="1">
      <alignment vertical="top" wrapText="1"/>
      <protection hidden="1"/>
    </xf>
    <xf numFmtId="0" fontId="0" fillId="5" borderId="0" xfId="0" applyFill="1" applyBorder="1" applyProtection="1">
      <protection hidden="1"/>
    </xf>
    <xf numFmtId="0" fontId="167" fillId="4" borderId="0" xfId="0" applyFont="1" applyFill="1" applyBorder="1" applyProtection="1">
      <protection hidden="1"/>
    </xf>
    <xf numFmtId="0" fontId="68" fillId="5" borderId="5" xfId="0" applyFont="1" applyFill="1" applyBorder="1" applyAlignment="1">
      <alignment horizontal="left"/>
    </xf>
    <xf numFmtId="0" fontId="22" fillId="2" borderId="0" xfId="0" applyFont="1" applyFill="1" applyAlignment="1" applyProtection="1">
      <alignment horizontal="right"/>
      <protection hidden="1"/>
    </xf>
    <xf numFmtId="10" fontId="4" fillId="2" borderId="0" xfId="1" applyNumberFormat="1" applyFont="1" applyFill="1" applyBorder="1" applyAlignment="1">
      <alignment horizontal="center" vertical="center"/>
    </xf>
    <xf numFmtId="0" fontId="22" fillId="2" borderId="0" xfId="0" applyFont="1" applyFill="1" applyProtection="1">
      <protection hidden="1"/>
    </xf>
    <xf numFmtId="0" fontId="26" fillId="5" borderId="19" xfId="0" applyFont="1" applyFill="1" applyBorder="1" applyAlignment="1"/>
    <xf numFmtId="0" fontId="80" fillId="5" borderId="20" xfId="0" applyFont="1" applyFill="1" applyBorder="1" applyAlignment="1"/>
    <xf numFmtId="0" fontId="35" fillId="5" borderId="20" xfId="0" applyFont="1" applyFill="1" applyBorder="1"/>
    <xf numFmtId="0" fontId="68" fillId="5" borderId="4" xfId="0" applyFont="1" applyFill="1" applyBorder="1" applyAlignment="1">
      <alignment horizontal="left"/>
    </xf>
    <xf numFmtId="0" fontId="68" fillId="5" borderId="0" xfId="0" applyFont="1" applyFill="1" applyBorder="1" applyAlignment="1">
      <alignment horizontal="left"/>
    </xf>
    <xf numFmtId="0" fontId="68" fillId="5" borderId="20" xfId="0" applyFont="1" applyFill="1" applyBorder="1" applyAlignment="1">
      <alignment horizontal="left"/>
    </xf>
    <xf numFmtId="0" fontId="168" fillId="7" borderId="28" xfId="0" applyFont="1" applyFill="1" applyBorder="1" applyAlignment="1" applyProtection="1">
      <alignment vertical="center" wrapText="1"/>
      <protection hidden="1"/>
    </xf>
    <xf numFmtId="0" fontId="168" fillId="7" borderId="33" xfId="0" applyFont="1" applyFill="1" applyBorder="1" applyAlignment="1" applyProtection="1">
      <alignment vertical="center" wrapText="1"/>
      <protection hidden="1"/>
    </xf>
    <xf numFmtId="0" fontId="168" fillId="7" borderId="82" xfId="0" applyFont="1" applyFill="1" applyBorder="1" applyAlignment="1" applyProtection="1">
      <alignment vertical="center" wrapText="1"/>
      <protection hidden="1"/>
    </xf>
    <xf numFmtId="0" fontId="168" fillId="7" borderId="85" xfId="0" applyFont="1" applyFill="1" applyBorder="1" applyAlignment="1" applyProtection="1">
      <alignment vertical="center" wrapText="1"/>
      <protection hidden="1"/>
    </xf>
    <xf numFmtId="0" fontId="169" fillId="7" borderId="0" xfId="0" applyFont="1" applyFill="1" applyBorder="1" applyAlignment="1" applyProtection="1">
      <protection hidden="1"/>
    </xf>
    <xf numFmtId="0" fontId="169" fillId="7" borderId="5" xfId="0" applyFont="1" applyFill="1" applyBorder="1" applyAlignment="1" applyProtection="1">
      <protection hidden="1"/>
    </xf>
    <xf numFmtId="0" fontId="168" fillId="7" borderId="0" xfId="0" applyFont="1" applyFill="1" applyBorder="1" applyAlignment="1" applyProtection="1">
      <alignment vertical="center" wrapText="1"/>
      <protection hidden="1"/>
    </xf>
    <xf numFmtId="0" fontId="168" fillId="7" borderId="5" xfId="0" applyFont="1" applyFill="1" applyBorder="1" applyAlignment="1" applyProtection="1">
      <alignment vertical="center" wrapText="1"/>
      <protection hidden="1"/>
    </xf>
    <xf numFmtId="0" fontId="160" fillId="10" borderId="0" xfId="0" applyFont="1" applyFill="1" applyBorder="1" applyProtection="1">
      <protection hidden="1"/>
    </xf>
    <xf numFmtId="0" fontId="167" fillId="4" borderId="0" xfId="0" applyFont="1" applyFill="1" applyBorder="1" applyAlignment="1" applyProtection="1">
      <alignment horizontal="center"/>
      <protection hidden="1"/>
    </xf>
    <xf numFmtId="0" fontId="169" fillId="38" borderId="0" xfId="0" applyFont="1" applyFill="1" applyBorder="1" applyAlignment="1" applyProtection="1">
      <alignment vertical="top" wrapText="1"/>
      <protection hidden="1"/>
    </xf>
    <xf numFmtId="0" fontId="158" fillId="54" borderId="0" xfId="0" applyFont="1" applyFill="1" applyBorder="1" applyAlignment="1" applyProtection="1">
      <alignment vertical="top" wrapText="1"/>
      <protection hidden="1"/>
    </xf>
    <xf numFmtId="0" fontId="158" fillId="54" borderId="5" xfId="0" applyFont="1" applyFill="1" applyBorder="1" applyAlignment="1" applyProtection="1">
      <alignment vertical="top" wrapText="1"/>
      <protection hidden="1"/>
    </xf>
    <xf numFmtId="0" fontId="4" fillId="54" borderId="0" xfId="0" applyFont="1" applyFill="1" applyBorder="1" applyAlignment="1" applyProtection="1">
      <alignment wrapText="1"/>
      <protection hidden="1"/>
    </xf>
    <xf numFmtId="0" fontId="0" fillId="54" borderId="0" xfId="0" applyFill="1" applyBorder="1" applyAlignment="1" applyProtection="1">
      <alignment wrapText="1"/>
      <protection hidden="1"/>
    </xf>
    <xf numFmtId="0" fontId="40" fillId="54" borderId="0" xfId="0" applyFont="1" applyFill="1" applyBorder="1" applyAlignment="1" applyProtection="1">
      <alignment wrapText="1"/>
      <protection hidden="1"/>
    </xf>
    <xf numFmtId="0" fontId="169" fillId="54" borderId="0" xfId="0" applyFont="1" applyFill="1" applyBorder="1" applyAlignment="1" applyProtection="1">
      <alignment wrapText="1"/>
      <protection hidden="1"/>
    </xf>
    <xf numFmtId="0" fontId="158" fillId="54" borderId="0" xfId="0" applyFont="1" applyFill="1" applyBorder="1" applyAlignment="1" applyProtection="1">
      <alignment wrapText="1"/>
      <protection hidden="1"/>
    </xf>
    <xf numFmtId="0" fontId="95" fillId="11" borderId="0" xfId="0" applyFont="1" applyFill="1" applyBorder="1" applyAlignment="1" applyProtection="1">
      <alignment vertical="top" wrapText="1"/>
      <protection hidden="1"/>
    </xf>
    <xf numFmtId="0" fontId="95" fillId="11" borderId="0" xfId="0" applyFont="1" applyFill="1" applyBorder="1" applyAlignment="1" applyProtection="1">
      <alignment horizontal="center" vertical="top" wrapText="1"/>
      <protection hidden="1"/>
    </xf>
    <xf numFmtId="0" fontId="95" fillId="11" borderId="0" xfId="0" applyFont="1" applyFill="1" applyBorder="1" applyAlignment="1" applyProtection="1">
      <alignment wrapText="1"/>
      <protection hidden="1"/>
    </xf>
    <xf numFmtId="0" fontId="160" fillId="38" borderId="0" xfId="0" applyFont="1" applyFill="1" applyBorder="1" applyAlignment="1" applyProtection="1">
      <alignment horizontal="center" vertical="top" wrapText="1"/>
      <protection hidden="1"/>
    </xf>
    <xf numFmtId="0" fontId="160" fillId="38" borderId="0" xfId="0" applyFont="1" applyFill="1" applyBorder="1" applyAlignment="1" applyProtection="1">
      <alignment vertical="top" wrapText="1"/>
      <protection hidden="1"/>
    </xf>
    <xf numFmtId="0" fontId="160" fillId="54" borderId="0" xfId="0" applyFont="1" applyFill="1" applyBorder="1" applyAlignment="1" applyProtection="1">
      <alignment horizontal="center" vertical="top" wrapText="1"/>
      <protection hidden="1"/>
    </xf>
    <xf numFmtId="0" fontId="160" fillId="54" borderId="0" xfId="0" applyFont="1" applyFill="1" applyBorder="1" applyAlignment="1" applyProtection="1">
      <alignment vertical="top" wrapText="1"/>
      <protection hidden="1"/>
    </xf>
    <xf numFmtId="0" fontId="95" fillId="53" borderId="0" xfId="0" applyFont="1" applyFill="1" applyBorder="1" applyAlignment="1" applyProtection="1">
      <alignment vertical="top" wrapText="1"/>
      <protection hidden="1"/>
    </xf>
    <xf numFmtId="0" fontId="95" fillId="53" borderId="0" xfId="0" applyFont="1" applyFill="1" applyBorder="1" applyAlignment="1" applyProtection="1">
      <alignment horizontal="center" vertical="top" wrapText="1"/>
      <protection hidden="1"/>
    </xf>
    <xf numFmtId="0" fontId="95" fillId="53" borderId="0" xfId="0" applyFont="1" applyFill="1" applyBorder="1" applyAlignment="1" applyProtection="1">
      <alignment wrapText="1"/>
      <protection hidden="1"/>
    </xf>
    <xf numFmtId="0" fontId="4" fillId="54" borderId="0" xfId="0" applyFont="1" applyFill="1" applyBorder="1" applyAlignment="1" applyProtection="1">
      <alignment vertical="top" wrapText="1"/>
      <protection hidden="1"/>
    </xf>
    <xf numFmtId="0" fontId="0" fillId="54" borderId="0" xfId="0" applyFill="1" applyBorder="1" applyAlignment="1" applyProtection="1">
      <alignment vertical="top" wrapText="1"/>
      <protection hidden="1"/>
    </xf>
    <xf numFmtId="0" fontId="0" fillId="38" borderId="0" xfId="0" applyFill="1" applyBorder="1" applyAlignment="1" applyProtection="1">
      <alignment vertical="top" wrapText="1"/>
      <protection hidden="1"/>
    </xf>
    <xf numFmtId="0" fontId="40" fillId="38" borderId="0" xfId="0" applyFont="1" applyFill="1" applyBorder="1" applyAlignment="1" applyProtection="1">
      <alignment vertical="top" wrapText="1"/>
      <protection hidden="1"/>
    </xf>
    <xf numFmtId="0" fontId="158" fillId="38" borderId="0" xfId="0" applyFont="1" applyFill="1" applyBorder="1" applyAlignment="1" applyProtection="1">
      <alignment vertical="top" wrapText="1"/>
      <protection hidden="1"/>
    </xf>
    <xf numFmtId="0" fontId="158" fillId="38" borderId="5" xfId="0" applyFont="1" applyFill="1" applyBorder="1" applyAlignment="1" applyProtection="1">
      <alignment vertical="top" wrapText="1"/>
      <protection hidden="1"/>
    </xf>
    <xf numFmtId="0" fontId="4" fillId="19" borderId="0" xfId="0" applyFont="1" applyFill="1" applyBorder="1" applyAlignment="1" applyProtection="1">
      <alignment vertical="top" wrapText="1"/>
      <protection hidden="1"/>
    </xf>
    <xf numFmtId="0" fontId="0" fillId="19" borderId="0" xfId="0" applyFill="1" applyBorder="1" applyAlignment="1" applyProtection="1">
      <alignment vertical="top" wrapText="1"/>
      <protection hidden="1"/>
    </xf>
    <xf numFmtId="0" fontId="40" fillId="19" borderId="0" xfId="0" applyFont="1" applyFill="1" applyBorder="1" applyAlignment="1" applyProtection="1">
      <alignment vertical="top" wrapText="1"/>
      <protection hidden="1"/>
    </xf>
    <xf numFmtId="0" fontId="169" fillId="19" borderId="0" xfId="0" applyFont="1" applyFill="1" applyBorder="1" applyAlignment="1" applyProtection="1">
      <alignment vertical="top" wrapText="1"/>
      <protection hidden="1"/>
    </xf>
    <xf numFmtId="0" fontId="158" fillId="19" borderId="0" xfId="0" applyFont="1" applyFill="1" applyBorder="1" applyAlignment="1" applyProtection="1">
      <alignment vertical="top" wrapText="1"/>
      <protection hidden="1"/>
    </xf>
    <xf numFmtId="0" fontId="158" fillId="19" borderId="5" xfId="0" applyFont="1" applyFill="1" applyBorder="1" applyAlignment="1" applyProtection="1">
      <alignment vertical="top" wrapText="1"/>
      <protection hidden="1"/>
    </xf>
    <xf numFmtId="164" fontId="160" fillId="19" borderId="0" xfId="0" applyNumberFormat="1" applyFont="1" applyFill="1" applyBorder="1" applyAlignment="1" applyProtection="1">
      <alignment horizontal="center" vertical="top" wrapText="1"/>
      <protection hidden="1"/>
    </xf>
    <xf numFmtId="0" fontId="160" fillId="19" borderId="0" xfId="0" applyFont="1" applyFill="1" applyBorder="1" applyAlignment="1" applyProtection="1">
      <alignment horizontal="center" vertical="top" wrapText="1"/>
      <protection hidden="1"/>
    </xf>
    <xf numFmtId="0" fontId="160" fillId="19" borderId="0" xfId="0" applyFont="1" applyFill="1" applyBorder="1" applyAlignment="1" applyProtection="1">
      <alignment vertical="top" wrapText="1"/>
      <protection hidden="1"/>
    </xf>
    <xf numFmtId="0" fontId="158" fillId="19" borderId="0" xfId="0" applyFont="1" applyFill="1" applyBorder="1" applyAlignment="1" applyProtection="1">
      <alignment wrapText="1"/>
      <protection hidden="1"/>
    </xf>
    <xf numFmtId="164" fontId="160" fillId="3" borderId="0" xfId="0" applyNumberFormat="1" applyFont="1" applyFill="1" applyBorder="1" applyAlignment="1" applyProtection="1">
      <alignment horizontal="center" vertical="top" wrapText="1"/>
      <protection hidden="1"/>
    </xf>
    <xf numFmtId="0" fontId="160" fillId="3" borderId="0" xfId="0" applyFont="1" applyFill="1" applyBorder="1" applyAlignment="1" applyProtection="1">
      <alignment horizontal="center" vertical="top" wrapText="1"/>
      <protection hidden="1"/>
    </xf>
    <xf numFmtId="0" fontId="160" fillId="3" borderId="0" xfId="0" applyFont="1" applyFill="1" applyBorder="1" applyAlignment="1" applyProtection="1">
      <alignment vertical="top" wrapText="1"/>
      <protection hidden="1"/>
    </xf>
    <xf numFmtId="0" fontId="4" fillId="3" borderId="0" xfId="0" applyFont="1" applyFill="1" applyBorder="1" applyAlignment="1" applyProtection="1">
      <alignment vertical="top" wrapText="1"/>
      <protection hidden="1"/>
    </xf>
    <xf numFmtId="0" fontId="0" fillId="3" borderId="0" xfId="0" applyFill="1" applyBorder="1" applyAlignment="1" applyProtection="1">
      <alignment vertical="top" wrapText="1"/>
      <protection hidden="1"/>
    </xf>
    <xf numFmtId="0" fontId="40" fillId="3" borderId="0" xfId="0" applyFont="1" applyFill="1" applyBorder="1" applyAlignment="1" applyProtection="1">
      <alignment vertical="top" wrapText="1"/>
      <protection hidden="1"/>
    </xf>
    <xf numFmtId="0" fontId="169" fillId="3" borderId="0" xfId="0" applyFont="1" applyFill="1" applyBorder="1" applyAlignment="1" applyProtection="1">
      <alignment vertical="top" wrapText="1"/>
      <protection hidden="1"/>
    </xf>
    <xf numFmtId="0" fontId="158" fillId="3" borderId="0" xfId="0" applyFont="1" applyFill="1" applyBorder="1" applyAlignment="1" applyProtection="1">
      <alignment vertical="top" wrapText="1"/>
      <protection hidden="1"/>
    </xf>
    <xf numFmtId="0" fontId="158" fillId="3" borderId="5" xfId="0" applyFont="1" applyFill="1" applyBorder="1" applyAlignment="1" applyProtection="1">
      <alignment vertical="top" wrapText="1"/>
      <protection hidden="1"/>
    </xf>
    <xf numFmtId="0" fontId="158" fillId="3" borderId="0" xfId="0" applyFont="1" applyFill="1" applyBorder="1" applyAlignment="1" applyProtection="1">
      <alignment wrapText="1"/>
      <protection hidden="1"/>
    </xf>
    <xf numFmtId="164" fontId="160" fillId="6" borderId="0" xfId="0" applyNumberFormat="1" applyFont="1" applyFill="1" applyBorder="1" applyAlignment="1" applyProtection="1">
      <alignment horizontal="center" vertical="top" wrapText="1"/>
      <protection hidden="1"/>
    </xf>
    <xf numFmtId="0" fontId="160" fillId="6" borderId="0" xfId="0" applyFont="1" applyFill="1" applyBorder="1" applyAlignment="1" applyProtection="1">
      <alignment horizontal="center" vertical="top" wrapText="1"/>
      <protection hidden="1"/>
    </xf>
    <xf numFmtId="0" fontId="160" fillId="6" borderId="0" xfId="0" applyFont="1" applyFill="1" applyBorder="1" applyAlignment="1" applyProtection="1">
      <alignment vertical="top" wrapText="1"/>
      <protection hidden="1"/>
    </xf>
    <xf numFmtId="164" fontId="160" fillId="38" borderId="0" xfId="0" applyNumberFormat="1" applyFont="1" applyFill="1" applyBorder="1" applyAlignment="1" applyProtection="1">
      <alignment horizontal="center" vertical="top" wrapText="1"/>
      <protection hidden="1"/>
    </xf>
    <xf numFmtId="0" fontId="158" fillId="38" borderId="0" xfId="0" applyFont="1" applyFill="1" applyBorder="1" applyAlignment="1" applyProtection="1">
      <alignment wrapText="1"/>
      <protection hidden="1"/>
    </xf>
    <xf numFmtId="0" fontId="0" fillId="6" borderId="0" xfId="0" applyFill="1" applyBorder="1" applyAlignment="1" applyProtection="1">
      <alignment vertical="top" wrapText="1"/>
      <protection hidden="1"/>
    </xf>
    <xf numFmtId="0" fontId="4" fillId="6" borderId="0" xfId="0" applyFont="1" applyFill="1" applyBorder="1" applyAlignment="1" applyProtection="1">
      <alignment vertical="top" wrapText="1"/>
      <protection hidden="1"/>
    </xf>
    <xf numFmtId="0" fontId="40" fillId="6" borderId="0" xfId="0" applyFont="1" applyFill="1" applyBorder="1" applyAlignment="1" applyProtection="1">
      <alignment vertical="top" wrapText="1"/>
      <protection hidden="1"/>
    </xf>
    <xf numFmtId="0" fontId="169" fillId="6" borderId="0" xfId="0" applyFont="1" applyFill="1" applyBorder="1" applyAlignment="1" applyProtection="1">
      <alignment vertical="top" wrapText="1"/>
      <protection hidden="1"/>
    </xf>
    <xf numFmtId="0" fontId="158" fillId="6" borderId="0" xfId="0" applyFont="1" applyFill="1" applyBorder="1" applyAlignment="1" applyProtection="1">
      <alignment vertical="top" wrapText="1"/>
      <protection hidden="1"/>
    </xf>
    <xf numFmtId="0" fontId="158" fillId="6" borderId="5" xfId="0" applyFont="1" applyFill="1" applyBorder="1" applyAlignment="1" applyProtection="1">
      <alignment vertical="top" wrapText="1"/>
      <protection hidden="1"/>
    </xf>
    <xf numFmtId="0" fontId="158" fillId="6" borderId="0" xfId="0" applyFont="1" applyFill="1" applyBorder="1" applyAlignment="1" applyProtection="1">
      <alignment wrapText="1"/>
      <protection hidden="1"/>
    </xf>
    <xf numFmtId="0" fontId="0" fillId="36" borderId="0" xfId="0" applyFill="1" applyBorder="1" applyAlignment="1" applyProtection="1">
      <alignment vertical="top" wrapText="1"/>
      <protection hidden="1"/>
    </xf>
    <xf numFmtId="164" fontId="160" fillId="36" borderId="0" xfId="0" applyNumberFormat="1" applyFont="1" applyFill="1" applyBorder="1" applyAlignment="1" applyProtection="1">
      <alignment horizontal="center" vertical="top" wrapText="1"/>
      <protection hidden="1"/>
    </xf>
    <xf numFmtId="0" fontId="160" fillId="36" borderId="0" xfId="0" applyFont="1" applyFill="1" applyBorder="1" applyAlignment="1" applyProtection="1">
      <alignment horizontal="center" vertical="top" wrapText="1"/>
      <protection hidden="1"/>
    </xf>
    <xf numFmtId="0" fontId="160" fillId="36" borderId="0" xfId="0" applyFont="1" applyFill="1" applyBorder="1" applyAlignment="1" applyProtection="1">
      <alignment vertical="top" wrapText="1"/>
      <protection hidden="1"/>
    </xf>
    <xf numFmtId="0" fontId="40" fillId="36" borderId="0" xfId="0" applyFont="1" applyFill="1" applyBorder="1" applyAlignment="1" applyProtection="1">
      <alignment vertical="top" wrapText="1"/>
      <protection hidden="1"/>
    </xf>
    <xf numFmtId="0" fontId="169" fillId="36" borderId="0" xfId="0" applyFont="1" applyFill="1" applyBorder="1" applyAlignment="1" applyProtection="1">
      <alignment vertical="top" wrapText="1"/>
      <protection hidden="1"/>
    </xf>
    <xf numFmtId="0" fontId="158" fillId="36" borderId="0" xfId="0" applyFont="1" applyFill="1" applyBorder="1" applyAlignment="1" applyProtection="1">
      <alignment vertical="top" wrapText="1"/>
      <protection hidden="1"/>
    </xf>
    <xf numFmtId="0" fontId="158" fillId="36" borderId="5" xfId="0" applyFont="1" applyFill="1" applyBorder="1" applyAlignment="1" applyProtection="1">
      <alignment vertical="top" wrapText="1"/>
      <protection hidden="1"/>
    </xf>
    <xf numFmtId="0" fontId="158" fillId="36" borderId="0" xfId="0" applyFont="1" applyFill="1" applyBorder="1" applyAlignment="1" applyProtection="1">
      <alignment wrapText="1"/>
      <protection hidden="1"/>
    </xf>
    <xf numFmtId="165" fontId="4" fillId="5" borderId="0" xfId="0" applyNumberFormat="1" applyFont="1" applyFill="1" applyBorder="1" applyAlignment="1" applyProtection="1">
      <alignment horizontal="right" wrapText="1"/>
      <protection hidden="1"/>
    </xf>
    <xf numFmtId="0" fontId="0" fillId="57" borderId="18" xfId="0" applyFont="1" applyFill="1" applyBorder="1" applyProtection="1">
      <protection hidden="1"/>
    </xf>
    <xf numFmtId="0" fontId="0" fillId="57" borderId="0" xfId="0" applyFont="1" applyFill="1" applyBorder="1" applyProtection="1">
      <protection hidden="1"/>
    </xf>
    <xf numFmtId="0" fontId="0" fillId="57" borderId="0" xfId="0" applyFont="1" applyFill="1" applyBorder="1" applyAlignment="1" applyProtection="1">
      <alignment horizontal="left"/>
      <protection hidden="1"/>
    </xf>
    <xf numFmtId="9" fontId="4" fillId="57" borderId="0" xfId="0" applyNumberFormat="1" applyFont="1" applyFill="1" applyBorder="1" applyAlignment="1" applyProtection="1">
      <alignment horizontal="right" wrapText="1"/>
      <protection hidden="1"/>
    </xf>
    <xf numFmtId="0" fontId="4" fillId="57" borderId="0" xfId="0" applyFont="1" applyFill="1" applyBorder="1" applyAlignment="1" applyProtection="1">
      <alignment horizontal="right"/>
      <protection hidden="1"/>
    </xf>
    <xf numFmtId="0" fontId="4" fillId="57" borderId="5" xfId="0" applyFont="1" applyFill="1" applyBorder="1" applyAlignment="1" applyProtection="1">
      <alignment horizontal="right"/>
      <protection hidden="1"/>
    </xf>
    <xf numFmtId="9" fontId="0" fillId="57" borderId="0" xfId="0" applyNumberFormat="1" applyFont="1" applyFill="1" applyBorder="1" applyAlignment="1" applyProtection="1">
      <alignment wrapText="1"/>
      <protection hidden="1"/>
    </xf>
    <xf numFmtId="168" fontId="0" fillId="57" borderId="0" xfId="0" applyNumberFormat="1" applyFont="1" applyFill="1" applyBorder="1" applyAlignment="1" applyProtection="1">
      <alignment wrapText="1"/>
      <protection hidden="1"/>
    </xf>
    <xf numFmtId="9" fontId="0" fillId="57" borderId="0" xfId="0" applyNumberFormat="1" applyFont="1" applyFill="1" applyBorder="1" applyProtection="1">
      <protection hidden="1"/>
    </xf>
    <xf numFmtId="0" fontId="0" fillId="57" borderId="5" xfId="0" applyFont="1" applyFill="1" applyBorder="1" applyProtection="1">
      <protection hidden="1"/>
    </xf>
    <xf numFmtId="0" fontId="6" fillId="57" borderId="19" xfId="0" applyFont="1" applyFill="1" applyBorder="1" applyProtection="1">
      <protection hidden="1"/>
    </xf>
    <xf numFmtId="0" fontId="0" fillId="57" borderId="20" xfId="0" applyFont="1" applyFill="1" applyBorder="1" applyAlignment="1" applyProtection="1">
      <alignment horizontal="left"/>
      <protection hidden="1"/>
    </xf>
    <xf numFmtId="0" fontId="0" fillId="57" borderId="20" xfId="0" applyFont="1" applyFill="1" applyBorder="1" applyAlignment="1" applyProtection="1">
      <alignment horizontal="right"/>
      <protection hidden="1"/>
    </xf>
    <xf numFmtId="16" fontId="22" fillId="2" borderId="0" xfId="0" applyNumberFormat="1" applyFont="1" applyFill="1" applyAlignment="1" applyProtection="1">
      <alignment horizontal="left"/>
      <protection hidden="1"/>
    </xf>
    <xf numFmtId="175" fontId="16" fillId="2" borderId="0" xfId="0" applyNumberFormat="1" applyFont="1" applyFill="1" applyProtection="1">
      <protection hidden="1"/>
    </xf>
    <xf numFmtId="0" fontId="5" fillId="4" borderId="19" xfId="0" applyFont="1" applyFill="1" applyBorder="1" applyProtection="1">
      <protection hidden="1"/>
    </xf>
    <xf numFmtId="0" fontId="3" fillId="4" borderId="20" xfId="0" applyFont="1" applyFill="1" applyBorder="1" applyAlignment="1" applyProtection="1">
      <alignment horizontal="right" vertical="center" wrapText="1"/>
      <protection hidden="1"/>
    </xf>
    <xf numFmtId="9" fontId="5" fillId="4" borderId="20" xfId="0" applyNumberFormat="1" applyFont="1" applyFill="1" applyBorder="1" applyAlignment="1" applyProtection="1">
      <alignment horizontal="right" vertical="center" wrapText="1"/>
      <protection hidden="1"/>
    </xf>
    <xf numFmtId="9" fontId="3" fillId="4" borderId="20" xfId="1" applyFont="1" applyFill="1" applyBorder="1" applyAlignment="1" applyProtection="1">
      <alignment horizontal="right" vertical="center" wrapText="1"/>
      <protection hidden="1"/>
    </xf>
    <xf numFmtId="164" fontId="3" fillId="4" borderId="20" xfId="7" applyFont="1" applyFill="1" applyBorder="1" applyAlignment="1" applyProtection="1">
      <alignment horizontal="right" vertical="center" wrapText="1"/>
      <protection hidden="1"/>
    </xf>
    <xf numFmtId="0" fontId="16" fillId="4" borderId="0" xfId="0" applyFont="1" applyFill="1" applyProtection="1">
      <protection hidden="1"/>
    </xf>
    <xf numFmtId="165" fontId="16" fillId="7" borderId="0" xfId="0" applyNumberFormat="1" applyFont="1" applyFill="1" applyProtection="1">
      <protection hidden="1"/>
    </xf>
    <xf numFmtId="9" fontId="6" fillId="5" borderId="0" xfId="0" applyNumberFormat="1" applyFont="1" applyFill="1" applyProtection="1">
      <protection hidden="1"/>
    </xf>
    <xf numFmtId="0" fontId="5" fillId="4" borderId="16" xfId="0" applyFont="1" applyFill="1" applyBorder="1" applyAlignment="1" applyProtection="1">
      <alignment horizontal="right" wrapText="1"/>
      <protection hidden="1"/>
    </xf>
    <xf numFmtId="0" fontId="3" fillId="4" borderId="4" xfId="0" applyFont="1" applyFill="1" applyBorder="1" applyAlignment="1" applyProtection="1">
      <protection hidden="1"/>
    </xf>
    <xf numFmtId="164" fontId="3" fillId="4" borderId="4" xfId="7" applyFont="1" applyFill="1" applyBorder="1" applyAlignment="1" applyProtection="1">
      <alignment horizontal="right" vertical="center" wrapText="1"/>
      <protection hidden="1"/>
    </xf>
    <xf numFmtId="0" fontId="0" fillId="19" borderId="9" xfId="0" applyFill="1" applyBorder="1" applyAlignment="1" applyProtection="1">
      <alignment horizontal="left" vertical="top" wrapText="1"/>
      <protection hidden="1"/>
    </xf>
    <xf numFmtId="0" fontId="0" fillId="57" borderId="0" xfId="0" applyFill="1" applyBorder="1"/>
    <xf numFmtId="0" fontId="5" fillId="4" borderId="17" xfId="0" applyFont="1" applyFill="1" applyBorder="1" applyAlignment="1" applyProtection="1">
      <alignment horizontal="right"/>
      <protection hidden="1"/>
    </xf>
    <xf numFmtId="0" fontId="0" fillId="57" borderId="18" xfId="0" applyFill="1" applyBorder="1"/>
    <xf numFmtId="0" fontId="0" fillId="57" borderId="19" xfId="0" applyFill="1" applyBorder="1"/>
    <xf numFmtId="0" fontId="0" fillId="57" borderId="20" xfId="0" applyFill="1" applyBorder="1"/>
    <xf numFmtId="0" fontId="0" fillId="57" borderId="4" xfId="0" applyFill="1" applyBorder="1"/>
    <xf numFmtId="0" fontId="0" fillId="2" borderId="0" xfId="0" applyFill="1" applyBorder="1" applyAlignment="1" applyProtection="1">
      <alignment horizontal="center"/>
      <protection hidden="1"/>
    </xf>
    <xf numFmtId="0" fontId="170" fillId="2" borderId="0" xfId="0" applyFont="1" applyFill="1"/>
    <xf numFmtId="0" fontId="7" fillId="9" borderId="5" xfId="0" applyFont="1" applyFill="1" applyBorder="1" applyAlignment="1" applyProtection="1">
      <alignment horizontal="center" vertical="center" wrapText="1"/>
      <protection hidden="1"/>
    </xf>
    <xf numFmtId="2" fontId="0" fillId="9" borderId="0" xfId="0" applyNumberFormat="1" applyFill="1" applyBorder="1" applyAlignment="1" applyProtection="1">
      <alignment horizontal="right" vertical="center" wrapText="1"/>
      <protection hidden="1"/>
    </xf>
    <xf numFmtId="2" fontId="4" fillId="9" borderId="20" xfId="0" applyNumberFormat="1" applyFont="1" applyFill="1" applyBorder="1" applyAlignment="1" applyProtection="1">
      <alignment vertical="center" wrapText="1"/>
      <protection hidden="1"/>
    </xf>
    <xf numFmtId="0" fontId="64" fillId="11" borderId="18" xfId="0" applyFont="1" applyFill="1" applyBorder="1"/>
    <xf numFmtId="0" fontId="5" fillId="11" borderId="5" xfId="0" applyFont="1" applyFill="1" applyBorder="1"/>
    <xf numFmtId="0" fontId="146" fillId="25" borderId="0" xfId="0" applyFont="1" applyFill="1" applyAlignment="1">
      <alignment vertical="center"/>
    </xf>
    <xf numFmtId="0" fontId="160" fillId="25" borderId="0" xfId="0" applyFont="1" applyFill="1" applyBorder="1" applyAlignment="1">
      <alignment vertical="top" wrapText="1"/>
    </xf>
    <xf numFmtId="0" fontId="160" fillId="4" borderId="0" xfId="0" applyFont="1" applyFill="1" applyBorder="1" applyAlignment="1">
      <alignment vertical="top" wrapText="1"/>
    </xf>
    <xf numFmtId="10" fontId="0" fillId="57" borderId="0" xfId="0" applyNumberFormat="1" applyFont="1" applyFill="1" applyBorder="1" applyAlignment="1" applyProtection="1">
      <alignment wrapText="1"/>
      <protection hidden="1"/>
    </xf>
    <xf numFmtId="0" fontId="158" fillId="14" borderId="0" xfId="0" applyFont="1" applyFill="1" applyBorder="1" applyAlignment="1">
      <alignment horizontal="left" vertical="center" wrapText="1"/>
    </xf>
    <xf numFmtId="0" fontId="52" fillId="14" borderId="82" xfId="0" applyFont="1" applyFill="1" applyBorder="1" applyAlignment="1">
      <alignment vertical="top" wrapText="1"/>
    </xf>
    <xf numFmtId="0" fontId="158" fillId="14" borderId="0" xfId="0" applyFont="1" applyFill="1" applyBorder="1" applyAlignment="1">
      <alignment horizontal="left" vertical="center" wrapText="1"/>
    </xf>
    <xf numFmtId="9" fontId="16" fillId="7" borderId="16" xfId="0" applyNumberFormat="1" applyFont="1" applyFill="1" applyBorder="1" applyAlignment="1" applyProtection="1">
      <alignment horizontal="center"/>
      <protection locked="0"/>
    </xf>
    <xf numFmtId="0" fontId="11" fillId="7" borderId="25" xfId="0" applyFont="1" applyFill="1" applyBorder="1" applyAlignment="1" applyProtection="1">
      <alignment horizontal="center"/>
      <protection locked="0"/>
    </xf>
    <xf numFmtId="9" fontId="16" fillId="7" borderId="0" xfId="0" applyNumberFormat="1" applyFont="1" applyFill="1" applyBorder="1" applyAlignment="1" applyProtection="1">
      <alignment horizontal="center"/>
      <protection locked="0"/>
    </xf>
    <xf numFmtId="0" fontId="16" fillId="7" borderId="16" xfId="0" applyFont="1" applyFill="1" applyBorder="1" applyAlignment="1" applyProtection="1">
      <alignment horizontal="center"/>
      <protection locked="0"/>
    </xf>
    <xf numFmtId="0" fontId="0" fillId="7" borderId="0" xfId="0" applyFill="1" applyBorder="1" applyAlignment="1" applyProtection="1">
      <alignment horizontal="center"/>
      <protection locked="0"/>
    </xf>
    <xf numFmtId="0" fontId="16" fillId="7" borderId="0" xfId="0" applyFont="1" applyFill="1" applyBorder="1" applyAlignment="1" applyProtection="1">
      <alignment horizontal="center"/>
      <protection locked="0"/>
    </xf>
    <xf numFmtId="0" fontId="0" fillId="7" borderId="20" xfId="0" applyFill="1" applyBorder="1" applyAlignment="1" applyProtection="1">
      <alignment horizontal="center"/>
      <protection locked="0"/>
    </xf>
    <xf numFmtId="0" fontId="3" fillId="4" borderId="16" xfId="0" applyFont="1" applyFill="1" applyBorder="1" applyAlignment="1" applyProtection="1">
      <alignment horizontal="center" vertical="center" wrapText="1"/>
      <protection locked="0"/>
    </xf>
    <xf numFmtId="9" fontId="16" fillId="7" borderId="0" xfId="0" applyNumberFormat="1" applyFont="1" applyFill="1" applyBorder="1" applyAlignment="1" applyProtection="1">
      <alignment horizontal="left"/>
      <protection locked="0"/>
    </xf>
    <xf numFmtId="0" fontId="0" fillId="7" borderId="5" xfId="0" applyFill="1" applyBorder="1" applyProtection="1">
      <protection locked="0"/>
    </xf>
    <xf numFmtId="0" fontId="0" fillId="7" borderId="5" xfId="0" applyFont="1" applyFill="1" applyBorder="1" applyProtection="1">
      <protection locked="0"/>
    </xf>
    <xf numFmtId="0" fontId="0" fillId="7" borderId="4" xfId="0" applyFont="1" applyFill="1" applyBorder="1" applyProtection="1">
      <protection locked="0"/>
    </xf>
    <xf numFmtId="168" fontId="0" fillId="7" borderId="0" xfId="0" applyNumberFormat="1" applyFont="1" applyFill="1" applyBorder="1" applyAlignment="1" applyProtection="1">
      <alignment wrapText="1"/>
      <protection locked="0" hidden="1"/>
    </xf>
    <xf numFmtId="9" fontId="0" fillId="7" borderId="0" xfId="0" applyNumberFormat="1" applyFont="1" applyFill="1" applyBorder="1" applyProtection="1">
      <protection locked="0" hidden="1"/>
    </xf>
    <xf numFmtId="0" fontId="0" fillId="7" borderId="5" xfId="0" applyFont="1" applyFill="1" applyBorder="1" applyProtection="1">
      <protection locked="0" hidden="1"/>
    </xf>
    <xf numFmtId="9" fontId="0" fillId="7" borderId="20" xfId="0" applyNumberFormat="1" applyFont="1" applyFill="1" applyBorder="1" applyProtection="1">
      <protection locked="0" hidden="1"/>
    </xf>
    <xf numFmtId="0" fontId="0" fillId="7" borderId="4" xfId="0" applyFont="1" applyFill="1" applyBorder="1" applyProtection="1">
      <protection locked="0" hidden="1"/>
    </xf>
    <xf numFmtId="9" fontId="0" fillId="7" borderId="0" xfId="0" applyNumberFormat="1" applyFill="1" applyBorder="1" applyProtection="1">
      <protection locked="0"/>
    </xf>
    <xf numFmtId="165" fontId="0" fillId="7" borderId="5" xfId="0" applyNumberFormat="1" applyFont="1" applyFill="1" applyBorder="1" applyAlignment="1" applyProtection="1">
      <alignment horizontal="right" wrapText="1"/>
      <protection locked="0" hidden="1"/>
    </xf>
    <xf numFmtId="0" fontId="0" fillId="2" borderId="0" xfId="0" applyFill="1" applyBorder="1" applyProtection="1">
      <protection locked="0"/>
    </xf>
    <xf numFmtId="0" fontId="0" fillId="2" borderId="0" xfId="0" applyFill="1" applyAlignment="1" applyProtection="1">
      <protection locked="0"/>
    </xf>
    <xf numFmtId="0" fontId="18" fillId="14" borderId="0" xfId="0" applyFont="1" applyFill="1" applyBorder="1" applyAlignment="1" applyProtection="1">
      <alignment horizontal="center" vertical="center"/>
      <protection locked="0"/>
    </xf>
    <xf numFmtId="0" fontId="17" fillId="14" borderId="0" xfId="0" applyFont="1" applyFill="1" applyBorder="1" applyAlignment="1" applyProtection="1">
      <alignment horizontal="center"/>
      <protection locked="0"/>
    </xf>
    <xf numFmtId="0" fontId="0" fillId="2" borderId="0" xfId="0" applyFill="1" applyBorder="1" applyAlignment="1" applyProtection="1">
      <alignment vertical="center"/>
      <protection locked="0"/>
    </xf>
    <xf numFmtId="0" fontId="6" fillId="2" borderId="0" xfId="0" applyFont="1" applyFill="1" applyAlignment="1" applyProtection="1">
      <alignment vertical="center"/>
      <protection locked="0"/>
    </xf>
    <xf numFmtId="0" fontId="17" fillId="2" borderId="0" xfId="0" applyFont="1" applyFill="1" applyBorder="1" applyAlignment="1" applyProtection="1">
      <alignment horizontal="center"/>
      <protection locked="0"/>
    </xf>
    <xf numFmtId="0" fontId="68" fillId="14" borderId="0" xfId="0" applyFont="1" applyFill="1" applyBorder="1" applyAlignment="1" applyProtection="1">
      <alignment horizontal="center"/>
      <protection locked="0"/>
    </xf>
    <xf numFmtId="0" fontId="68" fillId="14" borderId="0" xfId="0" applyFont="1" applyFill="1" applyBorder="1" applyAlignment="1" applyProtection="1">
      <alignment horizontal="center"/>
    </xf>
    <xf numFmtId="0" fontId="17" fillId="14" borderId="0" xfId="0" applyFont="1" applyFill="1" applyBorder="1" applyAlignment="1" applyProtection="1">
      <alignment horizontal="center" wrapText="1"/>
    </xf>
    <xf numFmtId="0" fontId="0" fillId="2" borderId="0" xfId="0" applyFill="1" applyProtection="1">
      <protection locked="0"/>
    </xf>
    <xf numFmtId="0" fontId="6" fillId="14" borderId="2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6" fillId="14" borderId="0" xfId="0" applyFont="1" applyFill="1" applyBorder="1" applyAlignment="1" applyProtection="1">
      <alignment horizontal="center" vertical="center"/>
      <protection locked="0"/>
    </xf>
    <xf numFmtId="0" fontId="18" fillId="2" borderId="0" xfId="0" applyFont="1" applyFill="1" applyBorder="1" applyAlignment="1" applyProtection="1">
      <alignment vertical="center"/>
      <protection locked="0"/>
    </xf>
    <xf numFmtId="0" fontId="6" fillId="14" borderId="0" xfId="0" applyFont="1" applyFill="1" applyBorder="1" applyAlignment="1" applyProtection="1">
      <protection locked="0"/>
    </xf>
    <xf numFmtId="0" fontId="0" fillId="14" borderId="0" xfId="0" applyFill="1" applyAlignment="1" applyProtection="1">
      <protection locked="0"/>
    </xf>
    <xf numFmtId="0" fontId="26" fillId="2" borderId="0" xfId="0" applyFont="1" applyFill="1" applyBorder="1" applyAlignment="1" applyProtection="1">
      <alignment vertical="center"/>
      <protection locked="0"/>
    </xf>
    <xf numFmtId="0" fontId="0" fillId="2" borderId="0" xfId="0" applyFill="1" applyBorder="1" applyAlignment="1" applyProtection="1">
      <protection locked="0"/>
    </xf>
    <xf numFmtId="0" fontId="4" fillId="14" borderId="0" xfId="0" applyFont="1" applyFill="1" applyAlignment="1" applyProtection="1">
      <protection locked="0"/>
    </xf>
    <xf numFmtId="0" fontId="16" fillId="14" borderId="0" xfId="0" applyFont="1" applyFill="1" applyAlignment="1" applyProtection="1">
      <protection locked="0"/>
    </xf>
    <xf numFmtId="0" fontId="0" fillId="14" borderId="0" xfId="0" applyFill="1" applyBorder="1" applyAlignment="1" applyProtection="1">
      <protection locked="0"/>
    </xf>
    <xf numFmtId="0" fontId="27" fillId="2" borderId="0" xfId="0" applyFont="1" applyFill="1" applyAlignment="1" applyProtection="1">
      <alignment vertical="center"/>
      <protection locked="0"/>
    </xf>
    <xf numFmtId="0" fontId="6" fillId="14" borderId="0" xfId="0" applyFont="1" applyFill="1" applyAlignment="1" applyProtection="1">
      <protection locked="0"/>
    </xf>
    <xf numFmtId="0" fontId="6" fillId="10" borderId="25" xfId="0" applyFont="1" applyFill="1" applyBorder="1" applyAlignment="1" applyProtection="1">
      <alignment horizontal="left" vertical="center"/>
      <protection locked="0"/>
    </xf>
    <xf numFmtId="0" fontId="6" fillId="10" borderId="0" xfId="0" applyFont="1" applyFill="1" applyBorder="1" applyAlignment="1" applyProtection="1">
      <alignment horizontal="left" vertical="center"/>
      <protection locked="0"/>
    </xf>
    <xf numFmtId="0" fontId="6" fillId="10" borderId="21" xfId="0" applyFont="1" applyFill="1" applyBorder="1" applyAlignment="1" applyProtection="1">
      <alignment horizontal="left" vertical="center"/>
      <protection locked="0"/>
    </xf>
    <xf numFmtId="0" fontId="16" fillId="8" borderId="43" xfId="8" applyFont="1" applyFill="1" applyBorder="1" applyAlignment="1" applyProtection="1">
      <alignment vertical="center"/>
      <protection locked="0"/>
    </xf>
    <xf numFmtId="9" fontId="1" fillId="10" borderId="25" xfId="1" applyFont="1" applyFill="1" applyBorder="1" applyAlignment="1" applyProtection="1">
      <alignment horizontal="left" vertical="center"/>
      <protection locked="0"/>
    </xf>
    <xf numFmtId="9" fontId="6" fillId="10" borderId="21" xfId="1" applyFont="1" applyFill="1" applyBorder="1" applyAlignment="1" applyProtection="1">
      <alignment horizontal="left" vertical="center"/>
      <protection locked="0"/>
    </xf>
    <xf numFmtId="10" fontId="6" fillId="10" borderId="25" xfId="0" applyNumberFormat="1" applyFont="1" applyFill="1" applyBorder="1" applyAlignment="1" applyProtection="1">
      <alignment horizontal="left" vertical="center"/>
      <protection locked="0"/>
    </xf>
    <xf numFmtId="0" fontId="1" fillId="10" borderId="25" xfId="0" applyFont="1" applyFill="1" applyBorder="1" applyAlignment="1" applyProtection="1">
      <alignment horizontal="left" vertical="center"/>
      <protection locked="0"/>
    </xf>
    <xf numFmtId="0" fontId="1" fillId="10" borderId="21" xfId="0" applyFont="1" applyFill="1" applyBorder="1" applyAlignment="1" applyProtection="1">
      <alignment horizontal="left" vertical="center"/>
      <protection locked="0"/>
    </xf>
    <xf numFmtId="9" fontId="1" fillId="10" borderId="21" xfId="0" applyNumberFormat="1" applyFont="1" applyFill="1" applyBorder="1" applyAlignment="1" applyProtection="1">
      <alignment horizontal="left" vertical="center"/>
      <protection locked="0"/>
    </xf>
    <xf numFmtId="9" fontId="1" fillId="10" borderId="44" xfId="1" applyFont="1" applyFill="1" applyBorder="1" applyAlignment="1" applyProtection="1">
      <alignment horizontal="left" vertical="center"/>
      <protection locked="0"/>
    </xf>
    <xf numFmtId="9" fontId="1" fillId="10" borderId="21" xfId="1" applyFont="1" applyFill="1" applyBorder="1" applyAlignment="1" applyProtection="1">
      <alignment horizontal="left" vertical="center"/>
      <protection locked="0"/>
    </xf>
    <xf numFmtId="2" fontId="1" fillId="10" borderId="25" xfId="7" applyNumberFormat="1" applyFont="1" applyFill="1" applyBorder="1" applyAlignment="1" applyProtection="1">
      <alignment horizontal="left" vertical="center"/>
      <protection locked="0"/>
    </xf>
    <xf numFmtId="9" fontId="1" fillId="10" borderId="0" xfId="1" applyFont="1" applyFill="1" applyBorder="1" applyAlignment="1" applyProtection="1">
      <alignment horizontal="left" vertical="center"/>
      <protection locked="0"/>
    </xf>
    <xf numFmtId="9" fontId="1" fillId="10" borderId="25" xfId="1" applyFont="1" applyFill="1" applyBorder="1" applyAlignment="1" applyProtection="1">
      <alignment horizontal="left" vertical="center" wrapText="1"/>
      <protection locked="0"/>
    </xf>
    <xf numFmtId="0" fontId="63" fillId="10" borderId="0" xfId="0" applyFont="1" applyFill="1" applyBorder="1" applyProtection="1">
      <protection locked="0"/>
    </xf>
    <xf numFmtId="0" fontId="63" fillId="4" borderId="0" xfId="0" applyFont="1" applyFill="1" applyBorder="1" applyProtection="1"/>
    <xf numFmtId="0" fontId="26" fillId="10" borderId="45" xfId="0" applyFont="1" applyFill="1" applyBorder="1" applyAlignment="1" applyProtection="1">
      <alignment vertical="center"/>
      <protection locked="0"/>
    </xf>
    <xf numFmtId="0" fontId="26" fillId="10" borderId="22" xfId="0" applyFont="1" applyFill="1" applyBorder="1" applyAlignment="1" applyProtection="1">
      <alignment vertical="center"/>
      <protection locked="0"/>
    </xf>
    <xf numFmtId="0" fontId="34" fillId="10" borderId="44" xfId="0" applyFont="1" applyFill="1" applyBorder="1" applyAlignment="1" applyProtection="1">
      <alignment horizontal="left" vertical="center"/>
      <protection locked="0"/>
    </xf>
    <xf numFmtId="0" fontId="34" fillId="10" borderId="25" xfId="0" applyFont="1" applyFill="1" applyBorder="1" applyAlignment="1" applyProtection="1">
      <alignment horizontal="left" vertical="center"/>
      <protection locked="0"/>
    </xf>
    <xf numFmtId="10" fontId="6" fillId="14" borderId="72" xfId="1" applyNumberFormat="1" applyFont="1" applyFill="1" applyBorder="1" applyAlignment="1">
      <alignment horizontal="left" vertical="center"/>
    </xf>
    <xf numFmtId="0" fontId="17" fillId="33" borderId="0" xfId="0" applyFont="1" applyFill="1" applyBorder="1" applyAlignment="1" applyProtection="1">
      <alignment horizontal="center"/>
      <protection hidden="1"/>
    </xf>
    <xf numFmtId="165" fontId="0" fillId="7" borderId="0" xfId="0" applyNumberFormat="1" applyFont="1" applyFill="1" applyBorder="1" applyAlignment="1" applyProtection="1">
      <alignment horizontal="right" wrapText="1"/>
      <protection locked="0" hidden="1"/>
    </xf>
    <xf numFmtId="0" fontId="0" fillId="57" borderId="15" xfId="0" applyFill="1" applyBorder="1"/>
    <xf numFmtId="0" fontId="0" fillId="57" borderId="16" xfId="0" applyFill="1" applyBorder="1"/>
    <xf numFmtId="9" fontId="4" fillId="57" borderId="16" xfId="0" applyNumberFormat="1" applyFont="1" applyFill="1" applyBorder="1" applyAlignment="1" applyProtection="1">
      <alignment horizontal="right" wrapText="1"/>
      <protection hidden="1"/>
    </xf>
    <xf numFmtId="0" fontId="4" fillId="57" borderId="17" xfId="0" applyFont="1" applyFill="1" applyBorder="1" applyAlignment="1" applyProtection="1">
      <alignment horizontal="right"/>
      <protection hidden="1"/>
    </xf>
    <xf numFmtId="0" fontId="0" fillId="57" borderId="20" xfId="0" applyFont="1" applyFill="1" applyBorder="1" applyProtection="1">
      <protection hidden="1"/>
    </xf>
    <xf numFmtId="165" fontId="0" fillId="7" borderId="20" xfId="0" applyNumberFormat="1" applyFont="1" applyFill="1" applyBorder="1" applyAlignment="1" applyProtection="1">
      <alignment horizontal="right" wrapText="1"/>
      <protection locked="0" hidden="1"/>
    </xf>
    <xf numFmtId="165" fontId="0" fillId="7" borderId="4" xfId="0" applyNumberFormat="1" applyFont="1" applyFill="1" applyBorder="1" applyAlignment="1" applyProtection="1">
      <alignment horizontal="right" wrapText="1"/>
      <protection locked="0" hidden="1"/>
    </xf>
    <xf numFmtId="0" fontId="134" fillId="57" borderId="0" xfId="0" applyFont="1" applyFill="1" applyBorder="1" applyAlignment="1" applyProtection="1">
      <alignment horizontal="right"/>
      <protection hidden="1"/>
    </xf>
    <xf numFmtId="0" fontId="134" fillId="57" borderId="20" xfId="0" applyFont="1" applyFill="1" applyBorder="1" applyAlignment="1" applyProtection="1">
      <alignment horizontal="right"/>
      <protection hidden="1"/>
    </xf>
    <xf numFmtId="0" fontId="0" fillId="9" borderId="0" xfId="0" applyFill="1" applyBorder="1" applyAlignment="1" applyProtection="1">
      <alignment horizontal="center"/>
      <protection hidden="1"/>
    </xf>
    <xf numFmtId="164" fontId="0" fillId="9" borderId="0" xfId="0" applyNumberFormat="1" applyFill="1" applyBorder="1" applyAlignment="1" applyProtection="1">
      <protection hidden="1"/>
    </xf>
    <xf numFmtId="0" fontId="14" fillId="4" borderId="0" xfId="0" applyFont="1" applyFill="1" applyBorder="1" applyAlignment="1" applyProtection="1">
      <alignment horizontal="right" wrapText="1"/>
      <protection hidden="1"/>
    </xf>
    <xf numFmtId="164" fontId="0" fillId="5" borderId="88" xfId="0" applyNumberFormat="1" applyFont="1" applyFill="1" applyBorder="1" applyProtection="1">
      <protection hidden="1"/>
    </xf>
    <xf numFmtId="0" fontId="0" fillId="25" borderId="88" xfId="0" applyFont="1" applyFill="1" applyBorder="1" applyProtection="1">
      <protection hidden="1"/>
    </xf>
    <xf numFmtId="0" fontId="4" fillId="5" borderId="28" xfId="0" applyFont="1" applyFill="1" applyBorder="1" applyProtection="1">
      <protection hidden="1"/>
    </xf>
    <xf numFmtId="0" fontId="0" fillId="25" borderId="28" xfId="0" applyFont="1" applyFill="1" applyBorder="1" applyProtection="1">
      <protection hidden="1"/>
    </xf>
    <xf numFmtId="0" fontId="4" fillId="5" borderId="42" xfId="0" applyFont="1" applyFill="1" applyBorder="1" applyProtection="1">
      <protection hidden="1"/>
    </xf>
    <xf numFmtId="0" fontId="0" fillId="35" borderId="3" xfId="0" applyFill="1" applyBorder="1" applyProtection="1">
      <protection hidden="1"/>
    </xf>
    <xf numFmtId="0" fontId="6" fillId="9" borderId="20" xfId="0" applyFont="1" applyFill="1" applyBorder="1" applyAlignment="1" applyProtection="1">
      <alignment horizontal="left" vertical="top" wrapText="1"/>
      <protection hidden="1"/>
    </xf>
    <xf numFmtId="0" fontId="17" fillId="10" borderId="0" xfId="0" applyFont="1" applyFill="1" applyBorder="1" applyAlignment="1">
      <alignment horizontal="center" vertical="center"/>
    </xf>
    <xf numFmtId="2" fontId="0" fillId="2" borderId="0" xfId="0" applyNumberFormat="1" applyFill="1"/>
    <xf numFmtId="0" fontId="6" fillId="9" borderId="16" xfId="0" applyFont="1" applyFill="1" applyBorder="1" applyAlignment="1" applyProtection="1">
      <alignment horizontal="left" vertical="top" wrapText="1"/>
      <protection hidden="1"/>
    </xf>
    <xf numFmtId="0" fontId="37" fillId="9" borderId="16" xfId="0" applyFont="1" applyFill="1" applyBorder="1" applyAlignment="1" applyProtection="1">
      <alignment horizontal="left" vertical="top" wrapText="1"/>
      <protection hidden="1"/>
    </xf>
    <xf numFmtId="0" fontId="6" fillId="4" borderId="0" xfId="0" applyFont="1" applyFill="1" applyAlignment="1" applyProtection="1">
      <alignment horizontal="left" vertical="top" wrapText="1"/>
      <protection hidden="1"/>
    </xf>
    <xf numFmtId="0" fontId="3" fillId="4" borderId="0" xfId="0" applyFont="1" applyFill="1" applyAlignment="1" applyProtection="1">
      <alignment horizontal="left" vertical="top"/>
      <protection hidden="1"/>
    </xf>
    <xf numFmtId="0" fontId="37" fillId="9" borderId="0" xfId="0" applyFont="1" applyFill="1" applyBorder="1" applyAlignment="1" applyProtection="1">
      <alignment horizontal="left" vertical="top" wrapText="1"/>
      <protection hidden="1"/>
    </xf>
    <xf numFmtId="0" fontId="37" fillId="9" borderId="20" xfId="0" applyFont="1" applyFill="1" applyBorder="1" applyAlignment="1" applyProtection="1">
      <alignment horizontal="left" vertical="top" wrapText="1"/>
      <protection hidden="1"/>
    </xf>
    <xf numFmtId="0" fontId="3" fillId="4" borderId="16" xfId="0" applyFont="1" applyFill="1" applyBorder="1" applyAlignment="1" applyProtection="1">
      <alignment horizontal="left" vertical="top"/>
      <protection hidden="1"/>
    </xf>
    <xf numFmtId="0" fontId="6" fillId="9" borderId="16" xfId="0" applyFont="1" applyFill="1" applyBorder="1" applyAlignment="1" applyProtection="1">
      <alignment horizontal="left" vertical="top"/>
      <protection hidden="1"/>
    </xf>
    <xf numFmtId="0" fontId="6" fillId="9" borderId="0" xfId="0" applyFont="1" applyFill="1" applyBorder="1" applyAlignment="1" applyProtection="1">
      <alignment horizontal="left" vertical="top"/>
      <protection hidden="1"/>
    </xf>
    <xf numFmtId="0" fontId="6" fillId="9" borderId="20" xfId="0" applyFont="1" applyFill="1" applyBorder="1" applyAlignment="1" applyProtection="1">
      <alignment horizontal="left" vertical="top"/>
      <protection hidden="1"/>
    </xf>
    <xf numFmtId="0" fontId="6" fillId="4" borderId="0" xfId="0" applyFont="1" applyFill="1" applyAlignment="1" applyProtection="1">
      <alignment horizontal="left" vertical="top"/>
      <protection hidden="1"/>
    </xf>
    <xf numFmtId="0" fontId="3" fillId="4" borderId="0" xfId="0" applyFont="1" applyFill="1" applyAlignment="1" applyProtection="1">
      <alignment horizontal="left" vertical="top" wrapText="1"/>
      <protection hidden="1"/>
    </xf>
    <xf numFmtId="0" fontId="3" fillId="4" borderId="16" xfId="0" applyFont="1" applyFill="1" applyBorder="1" applyAlignment="1" applyProtection="1">
      <alignment horizontal="left" vertical="top" wrapText="1"/>
      <protection hidden="1"/>
    </xf>
    <xf numFmtId="166" fontId="26" fillId="10" borderId="83" xfId="0" applyNumberFormat="1" applyFont="1" applyFill="1" applyBorder="1" applyAlignment="1" applyProtection="1">
      <alignment vertical="center"/>
      <protection locked="0"/>
    </xf>
    <xf numFmtId="0" fontId="0" fillId="45" borderId="6" xfId="0" applyFill="1" applyBorder="1" applyProtection="1">
      <protection hidden="1"/>
    </xf>
    <xf numFmtId="0" fontId="3" fillId="11" borderId="18" xfId="0" applyFont="1" applyFill="1" applyBorder="1" applyAlignment="1">
      <alignment horizontal="left" vertical="top" wrapText="1"/>
    </xf>
    <xf numFmtId="0" fontId="3" fillId="11" borderId="5" xfId="0" applyFont="1" applyFill="1" applyBorder="1" applyAlignment="1">
      <alignment horizontal="left" vertical="top" wrapText="1"/>
    </xf>
    <xf numFmtId="0" fontId="3" fillId="11" borderId="19" xfId="0" applyFont="1" applyFill="1" applyBorder="1" applyAlignment="1">
      <alignment horizontal="left" vertical="top" wrapText="1"/>
    </xf>
    <xf numFmtId="0" fontId="3" fillId="11" borderId="4" xfId="0" applyFont="1" applyFill="1" applyBorder="1" applyAlignment="1">
      <alignment horizontal="left" vertical="top" wrapText="1"/>
    </xf>
    <xf numFmtId="0" fontId="17" fillId="14" borderId="0" xfId="0" applyFont="1" applyFill="1" applyBorder="1" applyAlignment="1" applyProtection="1">
      <alignment horizontal="center" vertical="center" wrapText="1"/>
      <protection locked="0"/>
    </xf>
    <xf numFmtId="0" fontId="172" fillId="4" borderId="87" xfId="0" applyFont="1" applyFill="1" applyBorder="1" applyAlignment="1">
      <alignment horizontal="left" vertical="center" wrapText="1"/>
    </xf>
    <xf numFmtId="0" fontId="172" fillId="4" borderId="0" xfId="0" applyFont="1" applyFill="1" applyBorder="1" applyAlignment="1">
      <alignment horizontal="left" vertical="center" wrapText="1"/>
    </xf>
    <xf numFmtId="0" fontId="160" fillId="14" borderId="0" xfId="0" applyFont="1" applyFill="1" applyBorder="1" applyAlignment="1">
      <alignment horizontal="left" vertical="top" wrapText="1"/>
    </xf>
    <xf numFmtId="0" fontId="4" fillId="0" borderId="1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Border="1"/>
    <xf numFmtId="0" fontId="171" fillId="14" borderId="18" xfId="0" applyFont="1" applyFill="1" applyBorder="1" applyAlignment="1">
      <alignment horizontal="left" vertical="top" wrapText="1"/>
    </xf>
    <xf numFmtId="0" fontId="171" fillId="14" borderId="0" xfId="0" applyFont="1" applyFill="1" applyBorder="1" applyAlignment="1">
      <alignment horizontal="left" vertical="top" wrapText="1"/>
    </xf>
    <xf numFmtId="0" fontId="171" fillId="14" borderId="5" xfId="0" applyFont="1" applyFill="1" applyBorder="1" applyAlignment="1">
      <alignment horizontal="left" vertical="top" wrapText="1"/>
    </xf>
    <xf numFmtId="0" fontId="171" fillId="14" borderId="84" xfId="0" applyFont="1" applyFill="1" applyBorder="1" applyAlignment="1">
      <alignment horizontal="left" vertical="top" wrapText="1"/>
    </xf>
    <xf numFmtId="0" fontId="171" fillId="14" borderId="82" xfId="0" applyFont="1" applyFill="1" applyBorder="1" applyAlignment="1">
      <alignment horizontal="left" vertical="top" wrapText="1"/>
    </xf>
    <xf numFmtId="0" fontId="171" fillId="14" borderId="85" xfId="0" applyFont="1" applyFill="1" applyBorder="1" applyAlignment="1">
      <alignment horizontal="left" vertical="top" wrapText="1"/>
    </xf>
    <xf numFmtId="0" fontId="4" fillId="5" borderId="0" xfId="0" applyFont="1" applyFill="1" applyBorder="1" applyAlignment="1">
      <alignment horizontal="left" vertical="center"/>
    </xf>
    <xf numFmtId="0" fontId="158" fillId="14" borderId="18" xfId="0" applyFont="1" applyFill="1" applyBorder="1" applyAlignment="1">
      <alignment horizontal="left" vertical="top" wrapText="1"/>
    </xf>
    <xf numFmtId="0" fontId="158" fillId="14" borderId="0" xfId="0" applyFont="1" applyFill="1" applyBorder="1" applyAlignment="1">
      <alignment horizontal="left" vertical="top" wrapText="1"/>
    </xf>
    <xf numFmtId="0" fontId="158" fillId="14" borderId="5" xfId="0" applyFont="1" applyFill="1" applyBorder="1" applyAlignment="1">
      <alignment horizontal="left" vertical="top" wrapText="1"/>
    </xf>
    <xf numFmtId="0" fontId="158" fillId="14" borderId="84" xfId="0" applyFont="1" applyFill="1" applyBorder="1" applyAlignment="1">
      <alignment horizontal="left" vertical="top" wrapText="1"/>
    </xf>
    <xf numFmtId="0" fontId="158" fillId="14" borderId="82" xfId="0" applyFont="1" applyFill="1" applyBorder="1" applyAlignment="1">
      <alignment horizontal="left" vertical="top" wrapText="1"/>
    </xf>
    <xf numFmtId="0" fontId="158" fillId="14" borderId="85" xfId="0" applyFont="1" applyFill="1" applyBorder="1" applyAlignment="1">
      <alignment horizontal="left" vertical="top" wrapText="1"/>
    </xf>
    <xf numFmtId="0" fontId="4" fillId="0" borderId="0" xfId="0" applyFont="1" applyFill="1" applyBorder="1" applyAlignment="1">
      <alignment horizontal="center" vertical="center"/>
    </xf>
    <xf numFmtId="0" fontId="15" fillId="9" borderId="16" xfId="0" applyFont="1" applyFill="1" applyBorder="1" applyAlignment="1">
      <alignment horizontal="left" wrapText="1"/>
    </xf>
    <xf numFmtId="0" fontId="149" fillId="9" borderId="16" xfId="0" applyFont="1" applyFill="1" applyBorder="1" applyAlignment="1">
      <alignment horizontal="left" wrapText="1"/>
    </xf>
    <xf numFmtId="0" fontId="149" fillId="9" borderId="17" xfId="0" applyFont="1" applyFill="1" applyBorder="1" applyAlignment="1">
      <alignment horizontal="left" wrapText="1"/>
    </xf>
    <xf numFmtId="0" fontId="149" fillId="9" borderId="0" xfId="0" applyFont="1" applyFill="1" applyBorder="1" applyAlignment="1">
      <alignment horizontal="left" wrapText="1"/>
    </xf>
    <xf numFmtId="0" fontId="149" fillId="9" borderId="5" xfId="0" applyFont="1" applyFill="1" applyBorder="1" applyAlignment="1">
      <alignment horizontal="left" wrapText="1"/>
    </xf>
    <xf numFmtId="0" fontId="149" fillId="9" borderId="20" xfId="0" applyFont="1" applyFill="1" applyBorder="1" applyAlignment="1">
      <alignment horizontal="left" wrapText="1"/>
    </xf>
    <xf numFmtId="0" fontId="149" fillId="9" borderId="4" xfId="0" applyFont="1" applyFill="1" applyBorder="1" applyAlignment="1">
      <alignment horizontal="left" wrapText="1"/>
    </xf>
    <xf numFmtId="0" fontId="152" fillId="4" borderId="0" xfId="0" applyFont="1" applyFill="1" applyAlignment="1">
      <alignment horizontal="center" vertical="center"/>
    </xf>
    <xf numFmtId="0" fontId="148" fillId="11" borderId="15" xfId="0" applyFont="1" applyFill="1" applyBorder="1" applyAlignment="1">
      <alignment horizontal="center" vertical="center"/>
    </xf>
    <xf numFmtId="0" fontId="148" fillId="11" borderId="16" xfId="0" applyFont="1" applyFill="1" applyBorder="1" applyAlignment="1">
      <alignment horizontal="center" vertical="center"/>
    </xf>
    <xf numFmtId="0" fontId="148" fillId="11" borderId="17" xfId="0" applyFont="1" applyFill="1" applyBorder="1" applyAlignment="1">
      <alignment horizontal="center" vertical="center"/>
    </xf>
    <xf numFmtId="0" fontId="17" fillId="10" borderId="18" xfId="0" applyFont="1" applyFill="1" applyBorder="1" applyAlignment="1">
      <alignment horizontal="center" vertical="center" wrapText="1"/>
    </xf>
    <xf numFmtId="0" fontId="150" fillId="10" borderId="0" xfId="0" applyFont="1" applyFill="1" applyBorder="1" applyAlignment="1">
      <alignment horizontal="center" vertical="center" wrapText="1"/>
    </xf>
    <xf numFmtId="0" fontId="150" fillId="10" borderId="5" xfId="0" applyFont="1" applyFill="1" applyBorder="1" applyAlignment="1">
      <alignment horizontal="center" vertical="center" wrapText="1"/>
    </xf>
    <xf numFmtId="0" fontId="150" fillId="10" borderId="19" xfId="0" applyFont="1" applyFill="1" applyBorder="1" applyAlignment="1">
      <alignment horizontal="center" vertical="center" wrapText="1"/>
    </xf>
    <xf numFmtId="0" fontId="150" fillId="10" borderId="20" xfId="0" applyFont="1" applyFill="1" applyBorder="1" applyAlignment="1">
      <alignment horizontal="center" vertical="center" wrapText="1"/>
    </xf>
    <xf numFmtId="0" fontId="150" fillId="10" borderId="4" xfId="0" applyFont="1" applyFill="1" applyBorder="1" applyAlignment="1">
      <alignment horizontal="center" vertical="center" wrapText="1"/>
    </xf>
    <xf numFmtId="0" fontId="153" fillId="4" borderId="60" xfId="0" applyFont="1" applyFill="1" applyBorder="1" applyAlignment="1" applyProtection="1">
      <alignment horizontal="center" vertical="center" wrapText="1"/>
    </xf>
    <xf numFmtId="0" fontId="153" fillId="4" borderId="16" xfId="0" applyFont="1" applyFill="1" applyBorder="1" applyAlignment="1" applyProtection="1">
      <alignment horizontal="center" vertical="center" wrapText="1"/>
    </xf>
    <xf numFmtId="0" fontId="153" fillId="4" borderId="46" xfId="0" applyFont="1" applyFill="1" applyBorder="1" applyAlignment="1" applyProtection="1">
      <alignment horizontal="center" vertical="center" wrapText="1"/>
    </xf>
    <xf numFmtId="0" fontId="91" fillId="4" borderId="30" xfId="0" applyFont="1" applyFill="1" applyBorder="1" applyAlignment="1" applyProtection="1">
      <alignment horizontal="center" vertical="center" wrapText="1" shrinkToFit="1"/>
    </xf>
    <xf numFmtId="0" fontId="91" fillId="4" borderId="0" xfId="0" applyFont="1" applyFill="1" applyBorder="1" applyAlignment="1" applyProtection="1">
      <alignment horizontal="center" vertical="center" wrapText="1" shrinkToFit="1"/>
    </xf>
    <xf numFmtId="0" fontId="91" fillId="4" borderId="31" xfId="0" applyFont="1" applyFill="1" applyBorder="1" applyAlignment="1" applyProtection="1">
      <alignment horizontal="center" vertical="center" wrapText="1" shrinkToFit="1"/>
    </xf>
    <xf numFmtId="0" fontId="91" fillId="4" borderId="59" xfId="0" applyFont="1" applyFill="1" applyBorder="1" applyAlignment="1" applyProtection="1">
      <alignment horizontal="center" vertical="center" wrapText="1" shrinkToFit="1"/>
    </xf>
    <xf numFmtId="0" fontId="91" fillId="4" borderId="20" xfId="0" applyFont="1" applyFill="1" applyBorder="1" applyAlignment="1" applyProtection="1">
      <alignment horizontal="center" vertical="center" wrapText="1" shrinkToFit="1"/>
    </xf>
    <xf numFmtId="0" fontId="91" fillId="4" borderId="51" xfId="0" applyFont="1" applyFill="1" applyBorder="1" applyAlignment="1" applyProtection="1">
      <alignment horizontal="center" vertical="center" wrapText="1" shrinkToFit="1"/>
    </xf>
    <xf numFmtId="0" fontId="16" fillId="8" borderId="42" xfId="8" applyFont="1" applyFill="1" applyBorder="1" applyAlignment="1" applyProtection="1">
      <alignment horizontal="left" vertical="center"/>
      <protection locked="0"/>
    </xf>
    <xf numFmtId="0" fontId="16" fillId="8" borderId="43" xfId="8" applyFont="1" applyFill="1" applyBorder="1" applyAlignment="1" applyProtection="1">
      <alignment horizontal="left" vertical="center"/>
      <protection locked="0"/>
    </xf>
    <xf numFmtId="0" fontId="16" fillId="8" borderId="3" xfId="8" applyFont="1" applyFill="1" applyBorder="1" applyAlignment="1" applyProtection="1">
      <alignment horizontal="left" vertical="center"/>
      <protection locked="0"/>
    </xf>
    <xf numFmtId="0" fontId="4" fillId="0" borderId="16" xfId="0" applyFont="1" applyFill="1" applyBorder="1" applyAlignment="1">
      <alignment horizontal="left" vertical="center"/>
    </xf>
    <xf numFmtId="0" fontId="158" fillId="14" borderId="18" xfId="0" applyFont="1" applyFill="1" applyBorder="1" applyAlignment="1">
      <alignment horizontal="left" vertical="center" wrapText="1"/>
    </xf>
    <xf numFmtId="0" fontId="158" fillId="14" borderId="0" xfId="0" applyFont="1" applyFill="1" applyBorder="1" applyAlignment="1">
      <alignment horizontal="left" vertical="center" wrapText="1"/>
    </xf>
    <xf numFmtId="0" fontId="158" fillId="14" borderId="5" xfId="0" applyFont="1" applyFill="1" applyBorder="1" applyAlignment="1">
      <alignment horizontal="left" vertical="center" wrapText="1"/>
    </xf>
    <xf numFmtId="0" fontId="158" fillId="14" borderId="84" xfId="0" applyFont="1" applyFill="1" applyBorder="1" applyAlignment="1">
      <alignment horizontal="left" vertical="center" wrapText="1"/>
    </xf>
    <xf numFmtId="0" fontId="158" fillId="14" borderId="82" xfId="0" applyFont="1" applyFill="1" applyBorder="1" applyAlignment="1">
      <alignment horizontal="left" vertical="center" wrapText="1"/>
    </xf>
    <xf numFmtId="0" fontId="158" fillId="14" borderId="85" xfId="0" applyFont="1" applyFill="1" applyBorder="1" applyAlignment="1">
      <alignment horizontal="left" vertical="center" wrapText="1"/>
    </xf>
    <xf numFmtId="0" fontId="159" fillId="2" borderId="0" xfId="0" applyFont="1" applyFill="1" applyBorder="1" applyAlignment="1">
      <alignment horizontal="left" vertical="center" wrapText="1"/>
    </xf>
    <xf numFmtId="0" fontId="161" fillId="2" borderId="0" xfId="0" applyFont="1" applyFill="1" applyBorder="1" applyAlignment="1">
      <alignment horizontal="center" vertical="center"/>
    </xf>
    <xf numFmtId="0" fontId="4" fillId="0" borderId="20" xfId="0" applyFont="1" applyFill="1" applyBorder="1" applyAlignment="1">
      <alignment horizontal="left" vertical="center"/>
    </xf>
    <xf numFmtId="0" fontId="160" fillId="14" borderId="18" xfId="0" applyFont="1" applyFill="1" applyBorder="1" applyAlignment="1">
      <alignment horizontal="left" vertical="top" wrapText="1"/>
    </xf>
    <xf numFmtId="0" fontId="160" fillId="14" borderId="5" xfId="0" applyFont="1" applyFill="1" applyBorder="1" applyAlignment="1">
      <alignment horizontal="left" vertical="top" wrapText="1"/>
    </xf>
    <xf numFmtId="0" fontId="160" fillId="14" borderId="84" xfId="0" applyFont="1" applyFill="1" applyBorder="1" applyAlignment="1">
      <alignment horizontal="left" vertical="top" wrapText="1"/>
    </xf>
    <xf numFmtId="0" fontId="160" fillId="14" borderId="82" xfId="0" applyFont="1" applyFill="1" applyBorder="1" applyAlignment="1">
      <alignment horizontal="left" vertical="top" wrapText="1"/>
    </xf>
    <xf numFmtId="0" fontId="160" fillId="14" borderId="85" xfId="0" applyFont="1" applyFill="1" applyBorder="1" applyAlignment="1">
      <alignment horizontal="left" vertical="top" wrapText="1"/>
    </xf>
    <xf numFmtId="0" fontId="159" fillId="2" borderId="0" xfId="0" applyFont="1" applyFill="1" applyBorder="1" applyAlignment="1">
      <alignment horizontal="center" vertical="center"/>
    </xf>
    <xf numFmtId="0" fontId="4" fillId="5" borderId="20" xfId="0" applyFont="1" applyFill="1" applyBorder="1" applyAlignment="1">
      <alignment horizontal="center" vertical="center"/>
    </xf>
    <xf numFmtId="0" fontId="4" fillId="0" borderId="20" xfId="0" applyFont="1" applyFill="1" applyBorder="1" applyAlignment="1">
      <alignment horizontal="left" vertical="center" wrapText="1"/>
    </xf>
    <xf numFmtId="0" fontId="112" fillId="26" borderId="15" xfId="0" applyFont="1" applyFill="1" applyBorder="1" applyAlignment="1">
      <alignment horizontal="center" vertical="center" wrapText="1"/>
    </xf>
    <xf numFmtId="0" fontId="112" fillId="26" borderId="16" xfId="0" applyFont="1" applyFill="1" applyBorder="1" applyAlignment="1">
      <alignment horizontal="center" vertical="center" wrapText="1"/>
    </xf>
    <xf numFmtId="0" fontId="118" fillId="8" borderId="18" xfId="0" applyFont="1" applyFill="1" applyBorder="1" applyAlignment="1">
      <alignment horizontal="left" vertical="top" wrapText="1"/>
    </xf>
    <xf numFmtId="0" fontId="118" fillId="8" borderId="5" xfId="0" applyFont="1" applyFill="1" applyBorder="1" applyAlignment="1">
      <alignment horizontal="left" vertical="top" wrapText="1"/>
    </xf>
    <xf numFmtId="0" fontId="118" fillId="8" borderId="19" xfId="0" applyFont="1" applyFill="1" applyBorder="1" applyAlignment="1">
      <alignment horizontal="left" vertical="top" wrapText="1"/>
    </xf>
    <xf numFmtId="0" fontId="118" fillId="8" borderId="4" xfId="0" applyFont="1" applyFill="1" applyBorder="1" applyAlignment="1">
      <alignment horizontal="left" vertical="top" wrapText="1"/>
    </xf>
    <xf numFmtId="0" fontId="0" fillId="14" borderId="25" xfId="0" applyFill="1" applyBorder="1" applyAlignment="1" applyProtection="1">
      <alignment horizontal="center"/>
      <protection locked="0"/>
    </xf>
    <xf numFmtId="0" fontId="109" fillId="8" borderId="18" xfId="0" applyFont="1" applyFill="1" applyBorder="1" applyAlignment="1">
      <alignment horizontal="left" vertical="center" wrapText="1"/>
    </xf>
    <xf numFmtId="0" fontId="109" fillId="8" borderId="5" xfId="0" applyFont="1" applyFill="1" applyBorder="1" applyAlignment="1">
      <alignment horizontal="left" vertical="center" wrapText="1"/>
    </xf>
    <xf numFmtId="0" fontId="109" fillId="8" borderId="19" xfId="0" applyFont="1" applyFill="1" applyBorder="1" applyAlignment="1">
      <alignment horizontal="left" vertical="center" wrapText="1"/>
    </xf>
    <xf numFmtId="0" fontId="109" fillId="8" borderId="4" xfId="0" applyFont="1" applyFill="1" applyBorder="1" applyAlignment="1">
      <alignment horizontal="left" vertical="center" wrapText="1"/>
    </xf>
    <xf numFmtId="0" fontId="113" fillId="8" borderId="18" xfId="0" applyFont="1" applyFill="1" applyBorder="1" applyAlignment="1">
      <alignment horizontal="left" vertical="center" wrapText="1"/>
    </xf>
    <xf numFmtId="0" fontId="113" fillId="8" borderId="5" xfId="0" applyFont="1" applyFill="1" applyBorder="1" applyAlignment="1">
      <alignment horizontal="left" vertical="center" wrapText="1"/>
    </xf>
    <xf numFmtId="0" fontId="113" fillId="8" borderId="19" xfId="0" applyFont="1" applyFill="1" applyBorder="1" applyAlignment="1">
      <alignment horizontal="left" vertical="center" wrapText="1"/>
    </xf>
    <xf numFmtId="0" fontId="113" fillId="8" borderId="4" xfId="0" applyFont="1" applyFill="1" applyBorder="1" applyAlignment="1">
      <alignment horizontal="left" vertical="center" wrapText="1"/>
    </xf>
    <xf numFmtId="0" fontId="63" fillId="4" borderId="0" xfId="0" applyFont="1" applyFill="1" applyAlignment="1">
      <alignment horizontal="left" vertical="top" wrapText="1"/>
    </xf>
    <xf numFmtId="0" fontId="112" fillId="26" borderId="17" xfId="0" applyFont="1" applyFill="1" applyBorder="1" applyAlignment="1">
      <alignment horizontal="center" vertical="center" wrapText="1"/>
    </xf>
    <xf numFmtId="0" fontId="3" fillId="4" borderId="0" xfId="0" applyFont="1" applyFill="1" applyBorder="1" applyAlignment="1">
      <alignment horizontal="center"/>
    </xf>
    <xf numFmtId="0" fontId="68" fillId="14" borderId="0" xfId="0" applyFont="1" applyFill="1" applyBorder="1" applyAlignment="1" applyProtection="1">
      <alignment horizontal="center" vertical="center" wrapText="1"/>
      <protection locked="0"/>
    </xf>
    <xf numFmtId="0" fontId="17" fillId="14" borderId="0" xfId="0" applyFont="1" applyFill="1" applyBorder="1" applyAlignment="1">
      <alignment horizontal="center" vertical="center"/>
    </xf>
    <xf numFmtId="0" fontId="3" fillId="4" borderId="25" xfId="0" applyFont="1" applyFill="1" applyBorder="1" applyAlignment="1">
      <alignment horizontal="center"/>
    </xf>
    <xf numFmtId="0" fontId="17" fillId="9" borderId="0" xfId="0" applyFont="1" applyFill="1" applyBorder="1" applyAlignment="1" applyProtection="1">
      <alignment horizontal="center" vertical="center"/>
      <protection locked="0"/>
    </xf>
    <xf numFmtId="0" fontId="17" fillId="14" borderId="0" xfId="0" applyFont="1" applyFill="1" applyBorder="1" applyAlignment="1" applyProtection="1">
      <alignment horizontal="center" vertical="center"/>
      <protection locked="0"/>
    </xf>
    <xf numFmtId="0" fontId="30" fillId="34" borderId="0" xfId="0" applyFont="1" applyFill="1" applyBorder="1" applyAlignment="1">
      <alignment horizontal="left" vertical="center" wrapText="1"/>
    </xf>
    <xf numFmtId="0" fontId="16" fillId="5" borderId="0" xfId="8" applyFont="1" applyFill="1" applyBorder="1" applyAlignment="1">
      <alignment horizontal="left"/>
    </xf>
    <xf numFmtId="2" fontId="121" fillId="9" borderId="0" xfId="0" applyNumberFormat="1" applyFont="1" applyFill="1" applyBorder="1" applyAlignment="1">
      <alignment horizontal="center" vertical="center" wrapText="1"/>
    </xf>
    <xf numFmtId="0" fontId="64" fillId="4" borderId="15" xfId="0" applyFont="1" applyFill="1" applyBorder="1" applyAlignment="1">
      <alignment horizontal="center" wrapText="1"/>
    </xf>
    <xf numFmtId="0" fontId="64" fillId="4" borderId="16" xfId="0" applyFont="1" applyFill="1" applyBorder="1" applyAlignment="1">
      <alignment horizontal="center" wrapText="1"/>
    </xf>
    <xf numFmtId="0" fontId="64" fillId="4" borderId="17" xfId="0" applyFont="1" applyFill="1" applyBorder="1" applyAlignment="1">
      <alignment horizontal="center" wrapText="1"/>
    </xf>
    <xf numFmtId="0" fontId="52" fillId="8" borderId="18" xfId="0" applyFont="1" applyFill="1" applyBorder="1" applyAlignment="1">
      <alignment horizontal="center" wrapText="1"/>
    </xf>
    <xf numFmtId="0" fontId="52" fillId="8" borderId="0" xfId="0" applyFont="1" applyFill="1" applyBorder="1" applyAlignment="1">
      <alignment horizontal="center" wrapText="1"/>
    </xf>
    <xf numFmtId="0" fontId="52" fillId="8" borderId="5" xfId="0" applyFont="1" applyFill="1" applyBorder="1" applyAlignment="1">
      <alignment horizont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69" fillId="5" borderId="0" xfId="0" applyFont="1" applyFill="1" applyBorder="1" applyAlignment="1">
      <alignment horizontal="center"/>
    </xf>
    <xf numFmtId="0" fontId="65" fillId="9" borderId="0" xfId="0" applyFont="1" applyFill="1" applyBorder="1" applyAlignment="1">
      <alignment horizontal="left" vertical="center"/>
    </xf>
    <xf numFmtId="0" fontId="16" fillId="5" borderId="0" xfId="0" applyFont="1" applyFill="1" applyBorder="1" applyAlignment="1">
      <alignment horizontal="center"/>
    </xf>
    <xf numFmtId="0" fontId="15" fillId="9" borderId="0" xfId="0" applyFont="1" applyFill="1" applyBorder="1" applyAlignment="1">
      <alignment horizontal="left" vertical="center" wrapText="1"/>
    </xf>
    <xf numFmtId="0" fontId="4" fillId="8" borderId="18"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7" fillId="8" borderId="18" xfId="0" applyFont="1" applyFill="1" applyBorder="1" applyAlignment="1">
      <alignment horizontal="center"/>
    </xf>
    <xf numFmtId="0" fontId="17" fillId="8" borderId="0" xfId="0" applyFont="1" applyFill="1" applyBorder="1" applyAlignment="1">
      <alignment horizontal="center"/>
    </xf>
    <xf numFmtId="0" fontId="17" fillId="8" borderId="5" xfId="0" applyFont="1" applyFill="1" applyBorder="1" applyAlignment="1">
      <alignment horizontal="center"/>
    </xf>
    <xf numFmtId="0" fontId="18" fillId="8" borderId="18"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63" fillId="11" borderId="0" xfId="0" applyFont="1" applyFill="1" applyBorder="1" applyAlignment="1">
      <alignment horizontal="center" vertical="center" textRotation="255"/>
    </xf>
    <xf numFmtId="0" fontId="16" fillId="5" borderId="0"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75" fillId="5" borderId="18" xfId="0" applyFont="1" applyFill="1" applyBorder="1" applyAlignment="1">
      <alignment horizontal="center" vertical="center"/>
    </xf>
    <xf numFmtId="0" fontId="75" fillId="5"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90" fillId="40" borderId="0" xfId="0" applyFont="1" applyFill="1" applyBorder="1" applyAlignment="1" applyProtection="1">
      <alignment horizontal="center" vertical="center"/>
      <protection locked="0"/>
    </xf>
    <xf numFmtId="0" fontId="6" fillId="5" borderId="0" xfId="0" applyFont="1" applyFill="1" applyBorder="1" applyAlignment="1">
      <alignment horizontal="left" vertical="center"/>
    </xf>
    <xf numFmtId="0" fontId="36" fillId="34" borderId="0" xfId="0" applyFont="1" applyFill="1" applyBorder="1" applyAlignment="1">
      <alignment horizontal="left" vertical="center" wrapText="1"/>
    </xf>
    <xf numFmtId="0" fontId="118" fillId="26" borderId="18" xfId="0" applyFont="1" applyFill="1" applyBorder="1" applyAlignment="1">
      <alignment horizontal="left" vertical="top" wrapText="1"/>
    </xf>
    <xf numFmtId="0" fontId="118" fillId="26" borderId="5" xfId="0" applyFont="1" applyFill="1" applyBorder="1" applyAlignment="1">
      <alignment horizontal="left" vertical="top" wrapText="1"/>
    </xf>
    <xf numFmtId="0" fontId="142" fillId="8" borderId="18" xfId="0" applyFont="1" applyFill="1" applyBorder="1" applyAlignment="1">
      <alignment horizontal="left" vertical="top" wrapText="1"/>
    </xf>
    <xf numFmtId="0" fontId="120" fillId="2" borderId="0" xfId="0" applyFont="1" applyFill="1" applyBorder="1" applyAlignment="1">
      <alignment horizontal="center" vertical="center" wrapText="1"/>
    </xf>
    <xf numFmtId="0" fontId="118" fillId="2" borderId="0" xfId="0" applyFont="1" applyFill="1" applyBorder="1" applyAlignment="1">
      <alignment horizontal="left" vertical="center" wrapText="1"/>
    </xf>
    <xf numFmtId="0" fontId="63" fillId="4" borderId="15" xfId="0" applyFont="1" applyFill="1" applyBorder="1" applyAlignment="1">
      <alignment horizontal="center" vertical="top" wrapText="1"/>
    </xf>
    <xf numFmtId="0" fontId="63" fillId="4" borderId="17" xfId="0" applyFont="1" applyFill="1" applyBorder="1" applyAlignment="1">
      <alignment horizontal="center" vertical="top" wrapText="1"/>
    </xf>
    <xf numFmtId="0" fontId="0" fillId="5" borderId="0" xfId="0" applyFill="1" applyBorder="1" applyAlignment="1">
      <alignment horizontal="left" vertical="center" wrapText="1"/>
    </xf>
    <xf numFmtId="0" fontId="118" fillId="8" borderId="42" xfId="0" applyFont="1" applyFill="1" applyBorder="1" applyAlignment="1">
      <alignment horizontal="left" vertical="center" wrapText="1"/>
    </xf>
    <xf numFmtId="0" fontId="118" fillId="8" borderId="3" xfId="0" applyFont="1" applyFill="1" applyBorder="1" applyAlignment="1">
      <alignment horizontal="left" vertical="center" wrapText="1"/>
    </xf>
    <xf numFmtId="0" fontId="119" fillId="26" borderId="15" xfId="0" applyFont="1" applyFill="1" applyBorder="1" applyAlignment="1">
      <alignment horizontal="center" vertical="center" wrapText="1"/>
    </xf>
    <xf numFmtId="0" fontId="119" fillId="26" borderId="17" xfId="0" applyFont="1" applyFill="1" applyBorder="1" applyAlignment="1">
      <alignment horizontal="center" vertical="center" wrapText="1"/>
    </xf>
    <xf numFmtId="0" fontId="8" fillId="8" borderId="18" xfId="0" applyFont="1" applyFill="1" applyBorder="1" applyAlignment="1">
      <alignment horizontal="left" vertical="top" wrapText="1"/>
    </xf>
    <xf numFmtId="0" fontId="8" fillId="8" borderId="5" xfId="0" applyFont="1" applyFill="1" applyBorder="1" applyAlignment="1">
      <alignment horizontal="left" vertical="top" wrapText="1"/>
    </xf>
    <xf numFmtId="0" fontId="8" fillId="8" borderId="19" xfId="0" applyFont="1" applyFill="1" applyBorder="1" applyAlignment="1">
      <alignment horizontal="left" vertical="top" wrapText="1"/>
    </xf>
    <xf numFmtId="0" fontId="8" fillId="8" borderId="4" xfId="0" applyFont="1" applyFill="1" applyBorder="1" applyAlignment="1">
      <alignment horizontal="left" vertical="top" wrapText="1"/>
    </xf>
    <xf numFmtId="0" fontId="120" fillId="26" borderId="15" xfId="0" applyFont="1" applyFill="1" applyBorder="1" applyAlignment="1">
      <alignment horizontal="center" vertical="center" wrapText="1"/>
    </xf>
    <xf numFmtId="0" fontId="120" fillId="26" borderId="17" xfId="0" applyFont="1" applyFill="1" applyBorder="1" applyAlignment="1">
      <alignment horizontal="center" vertical="center" wrapText="1"/>
    </xf>
    <xf numFmtId="0" fontId="120" fillId="26" borderId="15" xfId="0" applyFont="1" applyFill="1" applyBorder="1" applyAlignment="1">
      <alignment horizontal="center" vertical="center"/>
    </xf>
    <xf numFmtId="0" fontId="120" fillId="26" borderId="17" xfId="0" applyFont="1" applyFill="1" applyBorder="1" applyAlignment="1">
      <alignment horizontal="center" vertical="center"/>
    </xf>
    <xf numFmtId="0" fontId="8" fillId="8" borderId="18"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4" xfId="0" applyFont="1" applyFill="1" applyBorder="1" applyAlignment="1">
      <alignment horizontal="left" vertical="center" wrapText="1"/>
    </xf>
    <xf numFmtId="0" fontId="118" fillId="8" borderId="19" xfId="0" applyFont="1" applyFill="1" applyBorder="1" applyAlignment="1">
      <alignment horizontal="left" vertical="center" wrapText="1"/>
    </xf>
    <xf numFmtId="0" fontId="118" fillId="8" borderId="4" xfId="0" applyFont="1" applyFill="1" applyBorder="1" applyAlignment="1">
      <alignment horizontal="left" vertical="center" wrapText="1"/>
    </xf>
    <xf numFmtId="0" fontId="0" fillId="2" borderId="0" xfId="0" applyFill="1" applyBorder="1" applyAlignment="1" applyProtection="1">
      <alignment horizontal="center" vertical="center"/>
      <protection locked="0"/>
    </xf>
    <xf numFmtId="0" fontId="6" fillId="14" borderId="21" xfId="0" applyFont="1" applyFill="1" applyBorder="1" applyAlignment="1" applyProtection="1">
      <alignment horizontal="center" vertical="center"/>
      <protection locked="0"/>
    </xf>
    <xf numFmtId="0" fontId="18" fillId="8" borderId="0" xfId="0" applyFont="1" applyFill="1" applyBorder="1" applyAlignment="1">
      <alignment horizontal="center" vertical="center"/>
    </xf>
    <xf numFmtId="0" fontId="18" fillId="8" borderId="5" xfId="0" applyFont="1" applyFill="1" applyBorder="1" applyAlignment="1">
      <alignment horizontal="center" vertical="center"/>
    </xf>
    <xf numFmtId="0" fontId="64" fillId="4" borderId="15" xfId="0" applyFont="1" applyFill="1" applyBorder="1" applyAlignment="1">
      <alignment horizontal="center" vertical="center" wrapText="1"/>
    </xf>
    <xf numFmtId="0" fontId="64" fillId="4" borderId="16" xfId="0" applyFont="1" applyFill="1" applyBorder="1" applyAlignment="1">
      <alignment horizontal="center" vertical="center" wrapText="1"/>
    </xf>
    <xf numFmtId="0" fontId="64" fillId="4" borderId="17" xfId="0" applyFont="1" applyFill="1" applyBorder="1" applyAlignment="1">
      <alignment horizontal="center" vertical="center" wrapText="1"/>
    </xf>
    <xf numFmtId="0" fontId="3" fillId="4" borderId="0" xfId="0" applyFont="1" applyFill="1" applyBorder="1" applyAlignment="1">
      <alignment horizontal="center" vertical="center"/>
    </xf>
    <xf numFmtId="0" fontId="17" fillId="8" borderId="18"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5" xfId="0" applyFont="1" applyFill="1" applyBorder="1" applyAlignment="1">
      <alignment horizontal="center" vertical="center"/>
    </xf>
    <xf numFmtId="0" fontId="18" fillId="8" borderId="18" xfId="0" applyFont="1" applyFill="1" applyBorder="1" applyAlignment="1">
      <alignment horizontal="center" vertical="center"/>
    </xf>
    <xf numFmtId="0" fontId="15" fillId="9" borderId="0" xfId="0" applyFont="1" applyFill="1" applyBorder="1" applyAlignment="1">
      <alignment vertical="center" wrapText="1"/>
    </xf>
    <xf numFmtId="0" fontId="16" fillId="5" borderId="0" xfId="8" applyFont="1" applyFill="1" applyBorder="1" applyAlignment="1">
      <alignment horizontal="left" vertical="center"/>
    </xf>
    <xf numFmtId="0" fontId="18" fillId="5" borderId="0" xfId="0" applyFont="1" applyFill="1" applyBorder="1" applyAlignment="1">
      <alignment horizontal="center" vertical="center"/>
    </xf>
    <xf numFmtId="0" fontId="16" fillId="5" borderId="0" xfId="0" applyFont="1" applyFill="1" applyBorder="1" applyAlignment="1">
      <alignment horizontal="center" vertical="center"/>
    </xf>
    <xf numFmtId="2" fontId="65" fillId="9" borderId="0" xfId="0" applyNumberFormat="1" applyFont="1" applyFill="1" applyBorder="1" applyAlignment="1">
      <alignment horizontal="center" vertical="center"/>
    </xf>
    <xf numFmtId="0" fontId="18" fillId="14" borderId="0" xfId="0" applyFont="1" applyFill="1" applyBorder="1" applyAlignment="1">
      <alignment horizontal="center" vertical="center"/>
    </xf>
    <xf numFmtId="0" fontId="37" fillId="5" borderId="0"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2" borderId="28" xfId="0" applyFont="1" applyFill="1" applyBorder="1" applyAlignment="1">
      <alignment horizontal="center" vertical="center"/>
    </xf>
    <xf numFmtId="0" fontId="6" fillId="14" borderId="25" xfId="0" applyFont="1" applyFill="1" applyBorder="1" applyAlignment="1" applyProtection="1">
      <alignment horizontal="center" vertical="center"/>
      <protection locked="0"/>
    </xf>
    <xf numFmtId="0" fontId="6" fillId="14" borderId="28" xfId="0" applyFont="1" applyFill="1" applyBorder="1" applyAlignment="1" applyProtection="1">
      <alignment horizontal="center" vertical="center"/>
      <protection locked="0"/>
    </xf>
    <xf numFmtId="0" fontId="6" fillId="14" borderId="0" xfId="0" applyFont="1" applyFill="1" applyBorder="1" applyAlignment="1">
      <alignment horizontal="center" vertical="center"/>
    </xf>
    <xf numFmtId="0" fontId="17" fillId="14" borderId="0" xfId="0" applyFont="1" applyFill="1" applyBorder="1" applyAlignment="1">
      <alignment horizontal="center" vertical="center" wrapText="1"/>
    </xf>
    <xf numFmtId="0" fontId="6" fillId="14" borderId="25" xfId="0" applyFont="1" applyFill="1" applyBorder="1" applyAlignment="1">
      <alignment horizontal="center" vertical="center"/>
    </xf>
    <xf numFmtId="0" fontId="6" fillId="2" borderId="28" xfId="0" applyFont="1" applyFill="1" applyBorder="1" applyAlignment="1" applyProtection="1">
      <alignment horizontal="center" vertical="center"/>
      <protection locked="0"/>
    </xf>
    <xf numFmtId="0" fontId="6" fillId="14" borderId="0" xfId="0" applyFont="1" applyFill="1" applyBorder="1" applyAlignment="1" applyProtection="1">
      <alignment horizontal="center" vertical="center"/>
      <protection locked="0"/>
    </xf>
    <xf numFmtId="0" fontId="6" fillId="5" borderId="0" xfId="3" applyFont="1" applyFill="1" applyBorder="1" applyAlignment="1" applyProtection="1">
      <alignment horizontal="left" vertical="center" wrapText="1"/>
    </xf>
    <xf numFmtId="0" fontId="0" fillId="14" borderId="0" xfId="0" applyFill="1" applyBorder="1" applyAlignment="1" applyProtection="1">
      <alignment horizontal="center"/>
      <protection locked="0"/>
    </xf>
    <xf numFmtId="0" fontId="0" fillId="14" borderId="25" xfId="0" applyFill="1" applyBorder="1" applyAlignment="1">
      <alignment horizontal="center"/>
    </xf>
    <xf numFmtId="0" fontId="6" fillId="5" borderId="0" xfId="3" applyFont="1" applyFill="1" applyBorder="1" applyAlignment="1" applyProtection="1">
      <alignment horizontal="left" vertical="center"/>
    </xf>
    <xf numFmtId="0" fontId="37" fillId="5" borderId="0" xfId="3" applyFont="1" applyFill="1" applyBorder="1" applyAlignment="1" applyProtection="1">
      <alignment horizontal="left" vertical="center"/>
    </xf>
    <xf numFmtId="0" fontId="6" fillId="12" borderId="0" xfId="0" applyFont="1" applyFill="1" applyBorder="1" applyAlignment="1">
      <alignment horizontal="center" vertical="center"/>
    </xf>
    <xf numFmtId="0" fontId="19" fillId="4" borderId="0" xfId="0" applyFont="1" applyFill="1" applyBorder="1" applyAlignment="1">
      <alignment horizontal="center" vertical="center"/>
    </xf>
    <xf numFmtId="0" fontId="6" fillId="2" borderId="0" xfId="3" applyFont="1" applyFill="1" applyBorder="1" applyAlignment="1" applyProtection="1">
      <alignment horizontal="center" vertical="center"/>
    </xf>
    <xf numFmtId="0" fontId="4" fillId="5" borderId="0" xfId="8" applyFont="1" applyFill="1" applyBorder="1" applyAlignment="1">
      <alignment horizontal="left" vertical="center"/>
    </xf>
    <xf numFmtId="0" fontId="3" fillId="4" borderId="0" xfId="0" applyFont="1" applyFill="1" applyAlignment="1">
      <alignment horizontal="center"/>
    </xf>
    <xf numFmtId="0" fontId="0" fillId="14" borderId="0" xfId="0" applyFill="1" applyAlignment="1" applyProtection="1">
      <alignment horizontal="center"/>
      <protection locked="0"/>
    </xf>
    <xf numFmtId="0" fontId="64" fillId="4" borderId="15" xfId="0" applyFont="1" applyFill="1" applyBorder="1" applyAlignment="1">
      <alignment horizontal="center"/>
    </xf>
    <xf numFmtId="0" fontId="64" fillId="4" borderId="16" xfId="0" applyFont="1" applyFill="1" applyBorder="1" applyAlignment="1">
      <alignment horizontal="center"/>
    </xf>
    <xf numFmtId="0" fontId="64" fillId="4" borderId="17" xfId="0" applyFont="1" applyFill="1" applyBorder="1" applyAlignment="1">
      <alignment horizontal="center"/>
    </xf>
    <xf numFmtId="0" fontId="18" fillId="8" borderId="15"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8" borderId="18" xfId="0" applyFont="1" applyFill="1" applyBorder="1" applyAlignment="1">
      <alignment horizontal="center"/>
    </xf>
    <xf numFmtId="0" fontId="18" fillId="8" borderId="0" xfId="0" applyFont="1" applyFill="1" applyBorder="1" applyAlignment="1">
      <alignment horizontal="center"/>
    </xf>
    <xf numFmtId="0" fontId="18" fillId="8" borderId="5" xfId="0" applyFont="1" applyFill="1" applyBorder="1" applyAlignment="1">
      <alignment horizontal="center"/>
    </xf>
    <xf numFmtId="0" fontId="10" fillId="26" borderId="15" xfId="0" applyFont="1" applyFill="1" applyBorder="1" applyAlignment="1">
      <alignment horizontal="center" vertical="top" wrapText="1"/>
    </xf>
    <xf numFmtId="0" fontId="10" fillId="26" borderId="17" xfId="0" applyFont="1" applyFill="1" applyBorder="1" applyAlignment="1">
      <alignment horizontal="center" vertical="top" wrapText="1"/>
    </xf>
    <xf numFmtId="0" fontId="7" fillId="8" borderId="18"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19" xfId="0" applyFont="1" applyFill="1" applyBorder="1" applyAlignment="1">
      <alignment horizontal="left" vertical="top" wrapText="1"/>
    </xf>
    <xf numFmtId="0" fontId="7" fillId="8" borderId="4" xfId="0" applyFont="1" applyFill="1" applyBorder="1" applyAlignment="1">
      <alignment horizontal="left" vertical="top" wrapText="1"/>
    </xf>
    <xf numFmtId="0" fontId="10" fillId="8" borderId="18" xfId="0" applyFont="1" applyFill="1" applyBorder="1" applyAlignment="1">
      <alignment horizontal="left" vertical="top" wrapText="1"/>
    </xf>
    <xf numFmtId="0" fontId="0" fillId="14" borderId="0" xfId="0" applyFill="1" applyBorder="1" applyAlignment="1">
      <alignment horizontal="center"/>
    </xf>
    <xf numFmtId="0" fontId="10" fillId="26" borderId="15" xfId="0" applyFont="1" applyFill="1" applyBorder="1" applyAlignment="1">
      <alignment horizontal="center" vertical="top"/>
    </xf>
    <xf numFmtId="0" fontId="10" fillId="26" borderId="17" xfId="0" applyFont="1" applyFill="1" applyBorder="1" applyAlignment="1">
      <alignment horizontal="center" vertical="top"/>
    </xf>
    <xf numFmtId="0" fontId="20" fillId="4" borderId="0" xfId="0" applyFont="1" applyFill="1" applyBorder="1" applyAlignment="1">
      <alignment horizontal="center"/>
    </xf>
    <xf numFmtId="0" fontId="16" fillId="5" borderId="0" xfId="8" applyFont="1" applyFill="1" applyBorder="1" applyAlignment="1" applyProtection="1">
      <alignment horizontal="left" vertical="center"/>
    </xf>
    <xf numFmtId="0" fontId="18" fillId="8" borderId="62" xfId="0" applyFont="1" applyFill="1" applyBorder="1" applyAlignment="1">
      <alignment horizontal="center"/>
    </xf>
    <xf numFmtId="0" fontId="18" fillId="8" borderId="16" xfId="0" applyFont="1" applyFill="1" applyBorder="1" applyAlignment="1">
      <alignment horizontal="center"/>
    </xf>
    <xf numFmtId="0" fontId="18" fillId="8" borderId="16" xfId="0" applyFont="1" applyFill="1" applyBorder="1" applyAlignment="1">
      <alignment horizontal="left"/>
    </xf>
    <xf numFmtId="0" fontId="18" fillId="8" borderId="17" xfId="0" applyFont="1" applyFill="1" applyBorder="1" applyAlignment="1">
      <alignment horizontal="left"/>
    </xf>
    <xf numFmtId="0" fontId="16" fillId="5" borderId="18" xfId="0" applyFont="1" applyFill="1" applyBorder="1" applyAlignment="1">
      <alignment horizontal="left"/>
    </xf>
    <xf numFmtId="0" fontId="16" fillId="5" borderId="0" xfId="0" applyFont="1" applyFill="1" applyBorder="1" applyAlignment="1">
      <alignment horizontal="left"/>
    </xf>
    <xf numFmtId="0" fontId="6" fillId="33" borderId="0" xfId="0" applyFont="1" applyFill="1" applyBorder="1" applyAlignment="1">
      <alignment horizontal="center"/>
    </xf>
    <xf numFmtId="0" fontId="19" fillId="4" borderId="0" xfId="0" applyFont="1" applyFill="1" applyBorder="1" applyAlignment="1">
      <alignment horizontal="center"/>
    </xf>
    <xf numFmtId="0" fontId="0" fillId="2" borderId="0" xfId="0" applyFill="1" applyBorder="1" applyAlignment="1">
      <alignment horizontal="center" vertical="center"/>
    </xf>
    <xf numFmtId="0" fontId="19" fillId="14" borderId="0" xfId="0" applyFont="1" applyFill="1" applyBorder="1" applyAlignment="1" applyProtection="1">
      <alignment horizontal="center"/>
      <protection locked="0"/>
    </xf>
    <xf numFmtId="0" fontId="34" fillId="14" borderId="25" xfId="0" applyFont="1" applyFill="1" applyBorder="1" applyAlignment="1" applyProtection="1">
      <alignment horizontal="center"/>
      <protection locked="0"/>
    </xf>
    <xf numFmtId="0" fontId="34" fillId="14" borderId="21" xfId="0" applyFont="1" applyFill="1" applyBorder="1" applyAlignment="1" applyProtection="1">
      <alignment horizontal="center"/>
      <protection locked="0"/>
    </xf>
    <xf numFmtId="0" fontId="34" fillId="14" borderId="0" xfId="0" applyFont="1" applyFill="1" applyBorder="1" applyAlignment="1" applyProtection="1">
      <alignment horizontal="center"/>
      <protection locked="0"/>
    </xf>
    <xf numFmtId="0" fontId="34" fillId="14" borderId="21" xfId="0" applyFont="1" applyFill="1" applyBorder="1" applyAlignment="1">
      <alignment horizontal="center"/>
    </xf>
    <xf numFmtId="0" fontId="34" fillId="2" borderId="0" xfId="0" applyFont="1" applyFill="1" applyBorder="1" applyAlignment="1">
      <alignment horizontal="center"/>
    </xf>
    <xf numFmtId="0" fontId="18" fillId="26" borderId="15" xfId="0" applyFont="1" applyFill="1" applyBorder="1" applyAlignment="1">
      <alignment horizontal="center" vertical="center" wrapText="1"/>
    </xf>
    <xf numFmtId="0" fontId="18" fillId="26" borderId="17" xfId="0" applyFont="1" applyFill="1" applyBorder="1" applyAlignment="1">
      <alignment horizontal="center" vertical="center" wrapText="1"/>
    </xf>
    <xf numFmtId="0" fontId="18" fillId="26" borderId="15" xfId="0" applyFont="1" applyFill="1" applyBorder="1" applyAlignment="1">
      <alignment horizontal="center" vertical="center"/>
    </xf>
    <xf numFmtId="0" fontId="18" fillId="26" borderId="17" xfId="0" applyFont="1" applyFill="1" applyBorder="1" applyAlignment="1">
      <alignment horizontal="center" vertical="center"/>
    </xf>
    <xf numFmtId="0" fontId="13" fillId="8" borderId="19"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8" borderId="18" xfId="0" applyFont="1" applyFill="1" applyBorder="1" applyAlignment="1">
      <alignment horizontal="left" vertical="top" wrapText="1"/>
    </xf>
    <xf numFmtId="0" fontId="13" fillId="8" borderId="5" xfId="0" applyFont="1" applyFill="1" applyBorder="1" applyAlignment="1">
      <alignment horizontal="left" vertical="top" wrapText="1"/>
    </xf>
    <xf numFmtId="0" fontId="19" fillId="2" borderId="0" xfId="0" applyFont="1" applyFill="1" applyBorder="1" applyAlignment="1">
      <alignment horizontal="center"/>
    </xf>
    <xf numFmtId="0" fontId="34" fillId="14" borderId="0" xfId="0" applyFont="1" applyFill="1" applyBorder="1" applyAlignment="1">
      <alignment horizontal="center"/>
    </xf>
    <xf numFmtId="0" fontId="6" fillId="22" borderId="0" xfId="0" applyFont="1" applyFill="1" applyBorder="1" applyAlignment="1">
      <alignment horizontal="center"/>
    </xf>
    <xf numFmtId="0" fontId="1" fillId="5" borderId="0" xfId="4" applyFont="1" applyFill="1" applyBorder="1" applyAlignment="1" applyProtection="1">
      <alignment horizontal="left" vertical="top"/>
    </xf>
    <xf numFmtId="0" fontId="1" fillId="5" borderId="0" xfId="4" applyFont="1" applyFill="1" applyBorder="1" applyAlignment="1" applyProtection="1">
      <alignment horizontal="left" vertical="top" wrapText="1"/>
    </xf>
    <xf numFmtId="0" fontId="68" fillId="14" borderId="0" xfId="0" applyFont="1" applyFill="1" applyBorder="1" applyAlignment="1" applyProtection="1">
      <alignment horizontal="center" vertical="center"/>
      <protection locked="0"/>
    </xf>
    <xf numFmtId="0" fontId="65" fillId="9" borderId="0" xfId="0" applyFont="1" applyFill="1" applyBorder="1" applyAlignment="1">
      <alignment horizontal="left" vertical="center" wrapText="1"/>
    </xf>
    <xf numFmtId="0" fontId="6" fillId="14" borderId="0" xfId="0" applyFont="1" applyFill="1" applyAlignment="1" applyProtection="1">
      <alignment horizontal="center"/>
      <protection locked="0"/>
    </xf>
    <xf numFmtId="0" fontId="6" fillId="14" borderId="25" xfId="0" applyFont="1" applyFill="1" applyBorder="1" applyAlignment="1" applyProtection="1">
      <alignment horizontal="center"/>
      <protection locked="0"/>
    </xf>
    <xf numFmtId="0" fontId="6" fillId="14" borderId="21" xfId="0" applyFont="1" applyFill="1" applyBorder="1" applyAlignment="1" applyProtection="1">
      <alignment horizontal="center"/>
      <protection locked="0"/>
    </xf>
    <xf numFmtId="0" fontId="6" fillId="2" borderId="28" xfId="0" applyFont="1" applyFill="1" applyBorder="1" applyAlignment="1">
      <alignment horizontal="center"/>
    </xf>
    <xf numFmtId="0" fontId="6" fillId="14" borderId="0" xfId="0" applyFont="1" applyFill="1" applyAlignment="1">
      <alignment horizontal="center"/>
    </xf>
    <xf numFmtId="0" fontId="37" fillId="5" borderId="0" xfId="4" applyFont="1" applyFill="1" applyBorder="1" applyAlignment="1" applyProtection="1">
      <alignment horizontal="left" vertical="top" wrapText="1"/>
    </xf>
    <xf numFmtId="0" fontId="26" fillId="26" borderId="15" xfId="0" applyFont="1" applyFill="1" applyBorder="1" applyAlignment="1">
      <alignment horizontal="center" vertical="center" wrapText="1"/>
    </xf>
    <xf numFmtId="0" fontId="26" fillId="26" borderId="17" xfId="0" applyFont="1" applyFill="1" applyBorder="1" applyAlignment="1">
      <alignment horizontal="center" vertical="center" wrapText="1"/>
    </xf>
    <xf numFmtId="0" fontId="6" fillId="2" borderId="0" xfId="0" applyFont="1" applyFill="1" applyAlignment="1">
      <alignment horizontal="center"/>
    </xf>
    <xf numFmtId="0" fontId="0" fillId="2" borderId="0" xfId="0" applyFill="1" applyBorder="1" applyAlignment="1">
      <alignment horizontal="center"/>
    </xf>
    <xf numFmtId="0" fontId="6" fillId="5" borderId="0" xfId="4" applyFont="1" applyFill="1" applyBorder="1" applyAlignment="1" applyProtection="1">
      <alignment horizontal="left" vertical="top" wrapText="1"/>
    </xf>
    <xf numFmtId="0" fontId="6" fillId="5" borderId="0" xfId="4" applyFont="1" applyFill="1" applyBorder="1" applyAlignment="1" applyProtection="1">
      <alignment horizontal="left" vertical="top"/>
    </xf>
    <xf numFmtId="0" fontId="16" fillId="9" borderId="19" xfId="0" applyFont="1" applyFill="1" applyBorder="1" applyAlignment="1">
      <alignment horizontal="center"/>
    </xf>
    <xf numFmtId="0" fontId="16" fillId="9" borderId="20" xfId="0" applyFont="1" applyFill="1" applyBorder="1" applyAlignment="1">
      <alignment horizontal="center"/>
    </xf>
    <xf numFmtId="0" fontId="16" fillId="9" borderId="4" xfId="0" applyFont="1" applyFill="1" applyBorder="1" applyAlignment="1">
      <alignment horizontal="center"/>
    </xf>
    <xf numFmtId="0" fontId="16" fillId="5" borderId="18" xfId="0" applyFont="1" applyFill="1" applyBorder="1" applyAlignment="1">
      <alignment horizontal="left" vertical="top" wrapText="1"/>
    </xf>
    <xf numFmtId="0" fontId="16" fillId="5" borderId="0" xfId="0" applyFont="1" applyFill="1" applyBorder="1" applyAlignment="1">
      <alignment horizontal="left" vertical="top" wrapText="1"/>
    </xf>
    <xf numFmtId="2" fontId="121" fillId="9" borderId="0" xfId="0" applyNumberFormat="1" applyFont="1" applyFill="1" applyBorder="1" applyAlignment="1">
      <alignment horizontal="center" vertical="center"/>
    </xf>
    <xf numFmtId="0" fontId="3" fillId="11" borderId="0" xfId="0" applyFont="1" applyFill="1" applyBorder="1" applyAlignment="1">
      <alignment horizontal="center" vertical="center" textRotation="255"/>
    </xf>
    <xf numFmtId="0" fontId="65" fillId="9" borderId="0" xfId="0" applyFont="1" applyFill="1" applyBorder="1" applyAlignment="1">
      <alignment horizontal="center" vertical="center" wrapText="1"/>
    </xf>
    <xf numFmtId="0" fontId="26" fillId="26" borderId="15" xfId="0" applyFont="1" applyFill="1" applyBorder="1" applyAlignment="1">
      <alignment horizontal="center" vertical="top" wrapText="1"/>
    </xf>
    <xf numFmtId="0" fontId="26" fillId="26" borderId="17" xfId="0" applyFont="1" applyFill="1" applyBorder="1" applyAlignment="1">
      <alignment horizontal="center" vertical="top" wrapText="1"/>
    </xf>
    <xf numFmtId="0" fontId="6" fillId="2" borderId="0" xfId="0" applyFont="1" applyFill="1" applyAlignment="1" applyProtection="1">
      <alignment horizontal="center"/>
      <protection locked="0"/>
    </xf>
    <xf numFmtId="0" fontId="18" fillId="5" borderId="0"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63" fillId="4" borderId="16" xfId="0" applyFont="1" applyFill="1" applyBorder="1" applyAlignment="1">
      <alignment horizontal="center"/>
    </xf>
    <xf numFmtId="0" fontId="63" fillId="4" borderId="17" xfId="0" applyFont="1" applyFill="1" applyBorder="1" applyAlignment="1">
      <alignment horizontal="center"/>
    </xf>
    <xf numFmtId="0" fontId="27" fillId="5" borderId="30" xfId="0" applyFont="1" applyFill="1" applyBorder="1" applyAlignment="1">
      <alignment horizontal="left" vertical="center" wrapText="1"/>
    </xf>
    <xf numFmtId="0" fontId="27" fillId="5" borderId="0" xfId="0" applyFont="1" applyFill="1" applyBorder="1" applyAlignment="1">
      <alignment horizontal="left" vertical="center" wrapText="1"/>
    </xf>
    <xf numFmtId="0" fontId="27" fillId="5" borderId="31" xfId="0" applyFont="1" applyFill="1" applyBorder="1" applyAlignment="1">
      <alignment horizontal="left" vertical="center" wrapText="1"/>
    </xf>
    <xf numFmtId="0" fontId="27" fillId="5" borderId="59"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51" xfId="0" applyFont="1" applyFill="1" applyBorder="1" applyAlignment="1">
      <alignment horizontal="left" vertical="center" wrapText="1"/>
    </xf>
    <xf numFmtId="9" fontId="16" fillId="14" borderId="0" xfId="8" applyNumberFormat="1" applyFont="1" applyFill="1" applyBorder="1" applyAlignment="1" applyProtection="1">
      <alignment horizontal="center"/>
      <protection locked="0"/>
    </xf>
    <xf numFmtId="9" fontId="16" fillId="14" borderId="5" xfId="8" applyNumberFormat="1" applyFont="1" applyFill="1" applyBorder="1" applyAlignment="1" applyProtection="1">
      <alignment horizontal="center"/>
      <protection locked="0"/>
    </xf>
    <xf numFmtId="9" fontId="16" fillId="14" borderId="20" xfId="8" applyNumberFormat="1" applyFont="1" applyFill="1" applyBorder="1" applyAlignment="1" applyProtection="1">
      <alignment horizontal="center"/>
      <protection locked="0"/>
    </xf>
    <xf numFmtId="9" fontId="16" fillId="14" borderId="4" xfId="8" applyNumberFormat="1" applyFont="1" applyFill="1" applyBorder="1" applyAlignment="1" applyProtection="1">
      <alignment horizontal="center"/>
      <protection locked="0"/>
    </xf>
    <xf numFmtId="0" fontId="16" fillId="5" borderId="18" xfId="8" applyFont="1" applyFill="1" applyBorder="1" applyAlignment="1" applyProtection="1">
      <alignment horizontal="left"/>
      <protection locked="0"/>
    </xf>
    <xf numFmtId="0" fontId="16" fillId="5" borderId="0" xfId="8" applyFont="1" applyFill="1" applyBorder="1" applyAlignment="1" applyProtection="1">
      <alignment horizontal="left"/>
      <protection locked="0"/>
    </xf>
    <xf numFmtId="0" fontId="16" fillId="5" borderId="19" xfId="8" applyFont="1" applyFill="1" applyBorder="1" applyAlignment="1" applyProtection="1">
      <alignment horizontal="left"/>
      <protection locked="0"/>
    </xf>
    <xf numFmtId="0" fontId="16" fillId="5" borderId="20" xfId="8" applyFont="1" applyFill="1" applyBorder="1" applyAlignment="1" applyProtection="1">
      <alignment horizontal="left"/>
      <protection locked="0"/>
    </xf>
    <xf numFmtId="0" fontId="17" fillId="9" borderId="0" xfId="0" applyFont="1" applyFill="1" applyBorder="1" applyAlignment="1">
      <alignment horizontal="right" vertical="center"/>
    </xf>
    <xf numFmtId="0" fontId="19" fillId="5" borderId="0" xfId="0" applyFont="1" applyFill="1" applyBorder="1" applyAlignment="1">
      <alignment horizontal="center"/>
    </xf>
    <xf numFmtId="0" fontId="76" fillId="5" borderId="0" xfId="0" applyFont="1" applyFill="1" applyBorder="1" applyAlignment="1">
      <alignment horizontal="center"/>
    </xf>
    <xf numFmtId="0" fontId="63" fillId="5" borderId="0" xfId="0" applyFont="1" applyFill="1" applyBorder="1" applyAlignment="1">
      <alignment horizontal="left" vertical="center" wrapText="1"/>
    </xf>
    <xf numFmtId="0" fontId="27" fillId="0" borderId="30" xfId="0" applyFont="1" applyFill="1" applyBorder="1" applyAlignment="1">
      <alignment vertical="center" wrapText="1"/>
    </xf>
    <xf numFmtId="0" fontId="27" fillId="0" borderId="0" xfId="0" applyFont="1" applyFill="1" applyBorder="1" applyAlignment="1">
      <alignment vertical="center" wrapText="1"/>
    </xf>
    <xf numFmtId="0" fontId="27" fillId="0" borderId="5" xfId="0" applyFont="1" applyFill="1" applyBorder="1" applyAlignment="1">
      <alignment vertical="center" wrapText="1"/>
    </xf>
    <xf numFmtId="0" fontId="27" fillId="0" borderId="59" xfId="0" applyFont="1" applyFill="1" applyBorder="1" applyAlignment="1">
      <alignment vertical="center" wrapText="1"/>
    </xf>
    <xf numFmtId="0" fontId="27" fillId="0" borderId="20" xfId="0" applyFont="1" applyFill="1" applyBorder="1" applyAlignment="1">
      <alignment vertical="center" wrapText="1"/>
    </xf>
    <xf numFmtId="0" fontId="27" fillId="0" borderId="4" xfId="0" applyFont="1" applyFill="1" applyBorder="1" applyAlignment="1">
      <alignment vertical="center" wrapText="1"/>
    </xf>
    <xf numFmtId="0" fontId="27" fillId="5" borderId="5" xfId="0" applyFont="1" applyFill="1" applyBorder="1" applyAlignment="1">
      <alignment horizontal="left" vertical="center" wrapText="1"/>
    </xf>
    <xf numFmtId="0" fontId="27" fillId="5" borderId="4" xfId="0" applyFont="1" applyFill="1" applyBorder="1" applyAlignment="1">
      <alignment horizontal="left" vertical="center" wrapText="1"/>
    </xf>
    <xf numFmtId="0" fontId="16" fillId="14" borderId="5" xfId="8" applyFont="1" applyFill="1" applyBorder="1" applyAlignment="1" applyProtection="1">
      <alignment horizontal="center"/>
      <protection locked="0"/>
    </xf>
    <xf numFmtId="0" fontId="63" fillId="5" borderId="0" xfId="0" applyFont="1" applyFill="1" applyBorder="1" applyAlignment="1">
      <alignment horizontal="left" vertical="top" wrapText="1"/>
    </xf>
    <xf numFmtId="0" fontId="17" fillId="9" borderId="0" xfId="0" applyFont="1" applyFill="1" applyBorder="1" applyAlignment="1">
      <alignment horizontal="left" vertical="center"/>
    </xf>
    <xf numFmtId="0" fontId="17" fillId="12" borderId="0" xfId="0" applyFont="1" applyFill="1" applyBorder="1" applyAlignment="1">
      <alignment horizontal="left" vertical="center"/>
    </xf>
    <xf numFmtId="9" fontId="17" fillId="9" borderId="0" xfId="0" applyNumberFormat="1" applyFont="1" applyFill="1" applyBorder="1" applyAlignment="1">
      <alignment horizontal="left" vertical="center"/>
    </xf>
    <xf numFmtId="0" fontId="14" fillId="5" borderId="0" xfId="0" applyFont="1" applyFill="1" applyBorder="1" applyAlignment="1">
      <alignment horizontal="center"/>
    </xf>
    <xf numFmtId="0" fontId="19" fillId="4" borderId="38" xfId="0" applyFont="1" applyFill="1" applyBorder="1" applyAlignment="1">
      <alignment horizontal="center" vertical="center"/>
    </xf>
    <xf numFmtId="0" fontId="19" fillId="4" borderId="27"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4" fillId="5" borderId="0" xfId="0" applyFont="1" applyFill="1" applyBorder="1" applyAlignment="1">
      <alignment horizontal="left" wrapText="1"/>
    </xf>
    <xf numFmtId="0" fontId="14" fillId="5" borderId="0" xfId="0" applyFont="1" applyFill="1" applyBorder="1" applyAlignment="1">
      <alignment horizontal="left"/>
    </xf>
    <xf numFmtId="0" fontId="26" fillId="5" borderId="18" xfId="0" applyFont="1" applyFill="1" applyBorder="1" applyAlignment="1">
      <alignment horizontal="center"/>
    </xf>
    <xf numFmtId="0" fontId="26" fillId="5" borderId="0" xfId="0" applyFont="1" applyFill="1" applyBorder="1" applyAlignment="1">
      <alignment horizontal="center"/>
    </xf>
    <xf numFmtId="2" fontId="26" fillId="5" borderId="0" xfId="0" applyNumberFormat="1" applyFont="1" applyFill="1" applyBorder="1" applyAlignment="1">
      <alignment horizontal="center"/>
    </xf>
    <xf numFmtId="0" fontId="77" fillId="5" borderId="0" xfId="0" applyFont="1" applyFill="1" applyBorder="1" applyAlignment="1">
      <alignment horizontal="center" vertical="center" wrapText="1"/>
    </xf>
    <xf numFmtId="0" fontId="17" fillId="33" borderId="0" xfId="0" applyFont="1" applyFill="1" applyBorder="1" applyAlignment="1">
      <alignment horizontal="left" vertical="center"/>
    </xf>
    <xf numFmtId="0" fontId="17" fillId="22" borderId="0" xfId="0" applyFont="1" applyFill="1" applyBorder="1" applyAlignment="1">
      <alignment horizontal="left" vertical="center"/>
    </xf>
    <xf numFmtId="0" fontId="17" fillId="33" borderId="0" xfId="0" applyFont="1" applyFill="1" applyBorder="1" applyAlignment="1">
      <alignment horizontal="center" vertical="center"/>
    </xf>
    <xf numFmtId="0" fontId="17" fillId="22"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5" borderId="0"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15" borderId="0" xfId="0" applyFont="1" applyFill="1" applyBorder="1" applyAlignment="1">
      <alignment horizontal="center" vertical="center"/>
    </xf>
    <xf numFmtId="0" fontId="17" fillId="15" borderId="0" xfId="0" applyFont="1" applyFill="1" applyBorder="1" applyAlignment="1">
      <alignment horizontal="left" vertical="center"/>
    </xf>
    <xf numFmtId="0" fontId="17" fillId="18" borderId="0" xfId="0" applyFont="1" applyFill="1" applyBorder="1" applyAlignment="1">
      <alignment horizontal="left" vertical="center"/>
    </xf>
    <xf numFmtId="0" fontId="17" fillId="18" borderId="0" xfId="0" applyFont="1" applyFill="1" applyBorder="1" applyAlignment="1">
      <alignment horizontal="center" vertical="center"/>
    </xf>
    <xf numFmtId="0" fontId="17" fillId="10" borderId="0"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16" xfId="0" applyFont="1" applyFill="1" applyBorder="1" applyAlignment="1">
      <alignment horizontal="center" vertical="center"/>
    </xf>
    <xf numFmtId="0" fontId="64" fillId="4" borderId="17" xfId="0" applyFont="1" applyFill="1" applyBorder="1" applyAlignment="1">
      <alignment horizontal="center" vertical="center"/>
    </xf>
    <xf numFmtId="0" fontId="64" fillId="4" borderId="19"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4" xfId="0" applyFont="1" applyFill="1" applyBorder="1" applyAlignment="1">
      <alignment horizontal="center" vertical="center"/>
    </xf>
    <xf numFmtId="0" fontId="75" fillId="5" borderId="15" xfId="0" applyFont="1" applyFill="1" applyBorder="1" applyAlignment="1">
      <alignment horizontal="center" vertical="center"/>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64" fillId="4" borderId="42" xfId="0" applyFont="1" applyFill="1" applyBorder="1" applyAlignment="1">
      <alignment horizontal="center"/>
    </xf>
    <xf numFmtId="0" fontId="64" fillId="4" borderId="43" xfId="0" applyFont="1" applyFill="1" applyBorder="1" applyAlignment="1">
      <alignment horizontal="center"/>
    </xf>
    <xf numFmtId="0" fontId="64" fillId="4" borderId="3" xfId="0" applyFont="1" applyFill="1" applyBorder="1" applyAlignment="1">
      <alignment horizontal="center"/>
    </xf>
    <xf numFmtId="164" fontId="26" fillId="5" borderId="0" xfId="0" applyNumberFormat="1" applyFont="1" applyFill="1" applyBorder="1" applyAlignment="1">
      <alignment horizontal="center"/>
    </xf>
    <xf numFmtId="0" fontId="91" fillId="5" borderId="0" xfId="0" applyFont="1" applyFill="1" applyBorder="1" applyAlignment="1">
      <alignment horizontal="center" vertical="center" wrapText="1"/>
    </xf>
    <xf numFmtId="0" fontId="91" fillId="5" borderId="5" xfId="0" applyFont="1" applyFill="1" applyBorder="1" applyAlignment="1">
      <alignment horizontal="center" vertical="center" wrapText="1"/>
    </xf>
    <xf numFmtId="0" fontId="91" fillId="5" borderId="20" xfId="0" applyFont="1" applyFill="1" applyBorder="1" applyAlignment="1">
      <alignment horizontal="center" vertical="center" wrapText="1"/>
    </xf>
    <xf numFmtId="0" fontId="91" fillId="5" borderId="4" xfId="0" applyFont="1" applyFill="1" applyBorder="1" applyAlignment="1">
      <alignment horizontal="center" vertical="center" wrapText="1"/>
    </xf>
    <xf numFmtId="0" fontId="5" fillId="4" borderId="0" xfId="0" applyFont="1" applyFill="1" applyAlignment="1">
      <alignment horizontal="left" vertical="top" wrapText="1"/>
    </xf>
    <xf numFmtId="0" fontId="17" fillId="10" borderId="0" xfId="0" applyFont="1" applyFill="1" applyBorder="1" applyAlignment="1">
      <alignment horizontal="left" vertical="center"/>
    </xf>
    <xf numFmtId="0" fontId="0" fillId="14" borderId="0" xfId="0" applyFont="1" applyFill="1" applyBorder="1" applyAlignment="1">
      <alignment horizontal="left" vertical="center" wrapText="1"/>
    </xf>
    <xf numFmtId="0" fontId="0" fillId="14" borderId="0" xfId="0" applyFont="1" applyFill="1" applyBorder="1" applyAlignment="1">
      <alignment horizontal="center" vertical="center"/>
    </xf>
    <xf numFmtId="167" fontId="0" fillId="14" borderId="25" xfId="0" applyNumberFormat="1" applyFont="1" applyFill="1" applyBorder="1" applyAlignment="1">
      <alignment horizontal="center" vertical="center"/>
    </xf>
    <xf numFmtId="167" fontId="0" fillId="14" borderId="35" xfId="0" applyNumberFormat="1" applyFont="1" applyFill="1" applyBorder="1" applyAlignment="1">
      <alignment horizontal="center" vertical="center"/>
    </xf>
    <xf numFmtId="167" fontId="0" fillId="14" borderId="21" xfId="0" applyNumberFormat="1" applyFont="1" applyFill="1" applyBorder="1" applyAlignment="1">
      <alignment horizontal="center" vertical="center"/>
    </xf>
    <xf numFmtId="167" fontId="0" fillId="14" borderId="36" xfId="0" applyNumberFormat="1" applyFont="1" applyFill="1" applyBorder="1" applyAlignment="1">
      <alignment horizontal="center" vertical="center"/>
    </xf>
    <xf numFmtId="0" fontId="16" fillId="14" borderId="18" xfId="0" quotePrefix="1" applyFont="1" applyFill="1" applyBorder="1" applyAlignment="1">
      <alignment horizontal="left" vertical="center"/>
    </xf>
    <xf numFmtId="0" fontId="16" fillId="14" borderId="0" xfId="0" quotePrefix="1" applyFont="1" applyFill="1" applyBorder="1" applyAlignment="1">
      <alignment horizontal="left" vertical="center"/>
    </xf>
    <xf numFmtId="0" fontId="4" fillId="14" borderId="0" xfId="0" applyFont="1" applyFill="1" applyBorder="1" applyAlignment="1">
      <alignment horizontal="left" vertical="center"/>
    </xf>
    <xf numFmtId="0" fontId="3" fillId="4" borderId="0" xfId="0" applyFont="1" applyFill="1" applyBorder="1" applyAlignment="1">
      <alignment horizontal="left" vertical="center"/>
    </xf>
    <xf numFmtId="0" fontId="3" fillId="4" borderId="5" xfId="0" applyFont="1" applyFill="1" applyBorder="1" applyAlignment="1">
      <alignment horizontal="left" vertical="center"/>
    </xf>
    <xf numFmtId="9" fontId="0" fillId="14" borderId="25" xfId="0" applyNumberFormat="1" applyFont="1" applyFill="1" applyBorder="1" applyAlignment="1">
      <alignment horizontal="left" vertical="center" wrapText="1"/>
    </xf>
    <xf numFmtId="9" fontId="0" fillId="14" borderId="0" xfId="0" applyNumberFormat="1" applyFont="1" applyFill="1" applyAlignment="1">
      <alignment horizontal="left" vertical="center" wrapText="1"/>
    </xf>
    <xf numFmtId="0" fontId="4" fillId="14" borderId="0" xfId="0" applyFont="1" applyFill="1" applyAlignment="1">
      <alignment horizontal="left" vertical="top" wrapText="1"/>
    </xf>
    <xf numFmtId="0" fontId="4" fillId="14" borderId="0" xfId="0" applyFont="1" applyFill="1" applyAlignment="1">
      <alignment horizontal="left" vertical="center" wrapText="1"/>
    </xf>
    <xf numFmtId="0" fontId="4" fillId="14" borderId="0" xfId="0" applyFont="1" applyFill="1" applyBorder="1" applyAlignment="1">
      <alignment horizontal="left" vertical="center" wrapText="1"/>
    </xf>
    <xf numFmtId="0" fontId="3" fillId="4" borderId="25" xfId="0" applyFont="1" applyFill="1" applyBorder="1" applyAlignment="1">
      <alignment horizontal="center" vertical="center"/>
    </xf>
    <xf numFmtId="0" fontId="3" fillId="4" borderId="35" xfId="0" applyFont="1" applyFill="1" applyBorder="1" applyAlignment="1">
      <alignment horizontal="center" vertical="center"/>
    </xf>
    <xf numFmtId="0" fontId="4" fillId="20" borderId="0" xfId="0" applyFont="1" applyFill="1" applyBorder="1" applyAlignment="1">
      <alignment horizontal="left" vertical="center" wrapText="1"/>
    </xf>
    <xf numFmtId="0" fontId="37" fillId="14" borderId="0" xfId="0" applyFont="1" applyFill="1" applyBorder="1" applyAlignment="1">
      <alignment horizontal="left" vertical="center" wrapText="1"/>
    </xf>
    <xf numFmtId="0" fontId="16" fillId="14" borderId="18" xfId="0" applyFont="1" applyFill="1" applyBorder="1" applyAlignment="1">
      <alignment horizontal="left" vertical="center"/>
    </xf>
    <xf numFmtId="0" fontId="16" fillId="14" borderId="0" xfId="0" applyFont="1" applyFill="1" applyBorder="1" applyAlignment="1">
      <alignment horizontal="left" vertical="center"/>
    </xf>
    <xf numFmtId="0" fontId="6" fillId="14" borderId="72" xfId="0" applyFont="1" applyFill="1" applyBorder="1" applyAlignment="1">
      <alignment horizontal="left" vertical="center"/>
    </xf>
    <xf numFmtId="0" fontId="3" fillId="4" borderId="18" xfId="0" applyFont="1" applyFill="1" applyBorder="1" applyAlignment="1">
      <alignment horizontal="left" vertical="center"/>
    </xf>
    <xf numFmtId="9" fontId="6" fillId="14" borderId="25" xfId="0" applyNumberFormat="1" applyFont="1" applyFill="1" applyBorder="1" applyAlignment="1">
      <alignment horizontal="left" vertical="center"/>
    </xf>
    <xf numFmtId="0" fontId="6" fillId="14" borderId="25" xfId="0" applyFont="1" applyFill="1" applyBorder="1" applyAlignment="1">
      <alignment horizontal="left" vertical="center"/>
    </xf>
    <xf numFmtId="0" fontId="6" fillId="14" borderId="35" xfId="0" applyFont="1" applyFill="1" applyBorder="1" applyAlignment="1">
      <alignment horizontal="left" vertical="center"/>
    </xf>
    <xf numFmtId="2" fontId="6" fillId="14" borderId="25" xfId="0" applyNumberFormat="1" applyFont="1" applyFill="1" applyBorder="1" applyAlignment="1">
      <alignment horizontal="left" vertical="center"/>
    </xf>
    <xf numFmtId="2" fontId="6" fillId="14" borderId="35" xfId="0" applyNumberFormat="1" applyFont="1" applyFill="1" applyBorder="1" applyAlignment="1">
      <alignment horizontal="left" vertical="center"/>
    </xf>
    <xf numFmtId="9" fontId="6" fillId="14" borderId="35" xfId="0" applyNumberFormat="1" applyFont="1" applyFill="1" applyBorder="1" applyAlignment="1">
      <alignment horizontal="left" vertical="center"/>
    </xf>
    <xf numFmtId="0" fontId="6" fillId="14" borderId="21" xfId="0" applyFont="1" applyFill="1" applyBorder="1" applyAlignment="1">
      <alignment horizontal="left" vertical="center"/>
    </xf>
    <xf numFmtId="2" fontId="6" fillId="4" borderId="25" xfId="0" applyNumberFormat="1" applyFont="1" applyFill="1" applyBorder="1" applyAlignment="1">
      <alignment horizontal="left" vertical="center"/>
    </xf>
    <xf numFmtId="0" fontId="6" fillId="4" borderId="21" xfId="0" applyFont="1" applyFill="1" applyBorder="1" applyAlignment="1">
      <alignment horizontal="left" vertical="center"/>
    </xf>
    <xf numFmtId="10" fontId="6" fillId="4" borderId="21" xfId="0" applyNumberFormat="1" applyFont="1" applyFill="1" applyBorder="1" applyAlignment="1">
      <alignment horizontal="left" vertical="center"/>
    </xf>
    <xf numFmtId="0" fontId="16" fillId="14" borderId="18" xfId="0" applyFont="1" applyFill="1" applyBorder="1" applyAlignment="1">
      <alignment horizontal="left" vertical="center" wrapText="1"/>
    </xf>
    <xf numFmtId="0" fontId="16" fillId="14" borderId="0" xfId="0" applyFont="1" applyFill="1" applyBorder="1" applyAlignment="1">
      <alignment horizontal="left" vertical="center" wrapText="1"/>
    </xf>
    <xf numFmtId="0" fontId="3" fillId="4" borderId="28"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5" xfId="0" applyFont="1" applyFill="1" applyBorder="1" applyAlignment="1">
      <alignment horizontal="center" vertical="center"/>
    </xf>
    <xf numFmtId="0" fontId="0" fillId="38" borderId="0" xfId="0" applyFont="1" applyFill="1" applyBorder="1" applyAlignment="1">
      <alignment horizontal="center" vertical="center"/>
    </xf>
    <xf numFmtId="0" fontId="3" fillId="4" borderId="16" xfId="0" applyFont="1" applyFill="1" applyBorder="1" applyAlignment="1">
      <alignment horizontal="center" vertical="center"/>
    </xf>
    <xf numFmtId="167" fontId="0" fillId="14" borderId="20" xfId="0" applyNumberFormat="1" applyFont="1" applyFill="1" applyBorder="1" applyAlignment="1">
      <alignment horizontal="center" vertical="center"/>
    </xf>
    <xf numFmtId="167" fontId="0" fillId="14" borderId="4" xfId="0" applyNumberFormat="1" applyFont="1" applyFill="1" applyBorder="1" applyAlignment="1">
      <alignment horizontal="center" vertical="center"/>
    </xf>
    <xf numFmtId="0" fontId="4" fillId="22" borderId="28" xfId="0" applyFont="1" applyFill="1" applyBorder="1" applyAlignment="1">
      <alignment horizontal="center" vertical="center"/>
    </xf>
    <xf numFmtId="0" fontId="4" fillId="22" borderId="33" xfId="0" applyFont="1" applyFill="1" applyBorder="1" applyAlignment="1">
      <alignment horizontal="center" vertical="center"/>
    </xf>
    <xf numFmtId="9" fontId="0" fillId="14" borderId="28" xfId="0" applyNumberFormat="1" applyFont="1" applyFill="1" applyBorder="1" applyAlignment="1">
      <alignment horizontal="left" vertical="center"/>
    </xf>
    <xf numFmtId="9" fontId="0" fillId="14" borderId="25" xfId="0" applyNumberFormat="1" applyFont="1" applyFill="1" applyBorder="1" applyAlignment="1">
      <alignment horizontal="left" vertical="center"/>
    </xf>
    <xf numFmtId="0" fontId="0" fillId="14" borderId="20" xfId="0" applyFont="1" applyFill="1" applyBorder="1" applyAlignment="1">
      <alignment horizontal="center" vertical="center"/>
    </xf>
    <xf numFmtId="0" fontId="0" fillId="6" borderId="0" xfId="0" applyFont="1" applyFill="1" applyBorder="1" applyAlignment="1">
      <alignment horizontal="center" vertical="center"/>
    </xf>
    <xf numFmtId="0" fontId="0" fillId="22" borderId="0" xfId="0" applyFont="1" applyFill="1" applyBorder="1" applyAlignment="1">
      <alignment horizontal="center" vertical="center"/>
    </xf>
    <xf numFmtId="0" fontId="0" fillId="33" borderId="0" xfId="0" applyFont="1" applyFill="1" applyBorder="1" applyAlignment="1">
      <alignment horizontal="center" vertical="center"/>
    </xf>
    <xf numFmtId="0" fontId="0" fillId="14" borderId="0" xfId="0" applyFont="1" applyFill="1" applyBorder="1" applyAlignment="1">
      <alignment horizontal="justify" vertical="center" wrapText="1"/>
    </xf>
    <xf numFmtId="0" fontId="4" fillId="39" borderId="18" xfId="0" applyFont="1" applyFill="1" applyBorder="1" applyAlignment="1">
      <alignment horizontal="left" vertical="center" wrapText="1"/>
    </xf>
    <xf numFmtId="0" fontId="4" fillId="39" borderId="0" xfId="0" applyFont="1" applyFill="1" applyBorder="1" applyAlignment="1">
      <alignment horizontal="left" vertical="center" wrapText="1"/>
    </xf>
    <xf numFmtId="0" fontId="4" fillId="22" borderId="0" xfId="0" applyFont="1" applyFill="1" applyBorder="1" applyAlignment="1">
      <alignment horizontal="left" vertical="center" wrapText="1"/>
    </xf>
    <xf numFmtId="0" fontId="4" fillId="15" borderId="18" xfId="0" applyFont="1" applyFill="1" applyBorder="1" applyAlignment="1">
      <alignment horizontal="left" vertical="center" wrapText="1"/>
    </xf>
    <xf numFmtId="0" fontId="4" fillId="15" borderId="0" xfId="0" applyFont="1" applyFill="1" applyBorder="1" applyAlignment="1">
      <alignment horizontal="left" vertical="center" wrapText="1"/>
    </xf>
    <xf numFmtId="0" fontId="4" fillId="33" borderId="18" xfId="0" applyFont="1" applyFill="1" applyBorder="1" applyAlignment="1">
      <alignment horizontal="left" vertical="center" wrapText="1"/>
    </xf>
    <xf numFmtId="0" fontId="4" fillId="33"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0" fillId="14" borderId="20" xfId="0" applyFont="1" applyFill="1" applyBorder="1" applyAlignment="1">
      <alignment horizontal="left" vertical="center" wrapText="1"/>
    </xf>
    <xf numFmtId="0" fontId="68" fillId="9" borderId="0" xfId="0" applyFont="1" applyFill="1" applyBorder="1" applyAlignment="1">
      <alignment horizontal="left" vertical="center" wrapText="1"/>
    </xf>
    <xf numFmtId="0" fontId="68" fillId="9" borderId="5" xfId="0" applyFont="1" applyFill="1" applyBorder="1" applyAlignment="1">
      <alignment horizontal="left" vertical="center" wrapText="1"/>
    </xf>
    <xf numFmtId="0" fontId="4" fillId="14" borderId="20" xfId="0" applyFont="1" applyFill="1" applyBorder="1" applyAlignment="1">
      <alignment horizontal="left" vertical="center"/>
    </xf>
    <xf numFmtId="0" fontId="95" fillId="11" borderId="0" xfId="0" applyFont="1" applyFill="1" applyAlignment="1">
      <alignment horizontal="center" vertical="center" textRotation="255"/>
    </xf>
    <xf numFmtId="0" fontId="15" fillId="14" borderId="0" xfId="0" applyFont="1" applyFill="1" applyAlignment="1">
      <alignment horizontal="left" wrapText="1"/>
    </xf>
    <xf numFmtId="0" fontId="15" fillId="14" borderId="0" xfId="0" applyFont="1" applyFill="1" applyAlignment="1">
      <alignment horizontal="left" vertical="top" wrapText="1"/>
    </xf>
    <xf numFmtId="0" fontId="19" fillId="11" borderId="0" xfId="0" applyFont="1" applyFill="1" applyBorder="1" applyAlignment="1">
      <alignment horizontal="center" vertical="center" textRotation="255"/>
    </xf>
    <xf numFmtId="0" fontId="3" fillId="11" borderId="18" xfId="0" applyFont="1" applyFill="1" applyBorder="1" applyAlignment="1" applyProtection="1">
      <alignment horizontal="left" vertical="top" wrapText="1"/>
      <protection hidden="1"/>
    </xf>
    <xf numFmtId="0" fontId="4" fillId="2" borderId="0" xfId="0" applyFont="1" applyFill="1" applyBorder="1" applyAlignment="1" applyProtection="1">
      <alignment horizontal="center"/>
      <protection hidden="1"/>
    </xf>
    <xf numFmtId="0" fontId="0" fillId="2" borderId="0" xfId="0" applyFill="1" applyBorder="1" applyAlignment="1" applyProtection="1">
      <alignment horizontal="left"/>
      <protection hidden="1"/>
    </xf>
    <xf numFmtId="0" fontId="9" fillId="4" borderId="6" xfId="0" applyFont="1" applyFill="1" applyBorder="1" applyAlignment="1">
      <alignment horizontal="center" vertical="center" textRotation="90" wrapText="1"/>
    </xf>
    <xf numFmtId="0" fontId="3" fillId="4" borderId="28" xfId="0" applyFont="1" applyFill="1" applyBorder="1" applyAlignment="1" applyProtection="1">
      <alignment horizontal="left"/>
      <protection hidden="1"/>
    </xf>
    <xf numFmtId="0" fontId="0" fillId="9" borderId="0" xfId="0" applyFill="1" applyAlignment="1" applyProtection="1">
      <alignment horizontal="center"/>
      <protection hidden="1"/>
    </xf>
    <xf numFmtId="0" fontId="4" fillId="9" borderId="0" xfId="0" applyFont="1" applyFill="1" applyAlignment="1" applyProtection="1">
      <alignment horizontal="center"/>
      <protection hidden="1"/>
    </xf>
    <xf numFmtId="0" fontId="9" fillId="2" borderId="0" xfId="0" applyFont="1" applyFill="1" applyBorder="1" applyAlignment="1">
      <alignment horizontal="center" vertical="center" textRotation="90" wrapText="1"/>
    </xf>
    <xf numFmtId="0" fontId="4" fillId="2" borderId="0" xfId="0" applyFont="1" applyFill="1" applyBorder="1" applyAlignment="1" applyProtection="1">
      <alignment horizontal="left"/>
      <protection hidden="1"/>
    </xf>
    <xf numFmtId="9" fontId="18" fillId="14" borderId="40" xfId="1" applyFont="1" applyFill="1" applyBorder="1" applyAlignment="1" applyProtection="1">
      <alignment horizontal="center" vertical="center" wrapText="1"/>
      <protection hidden="1"/>
    </xf>
    <xf numFmtId="9" fontId="18" fillId="14" borderId="41" xfId="1" applyFont="1" applyFill="1" applyBorder="1" applyAlignment="1" applyProtection="1">
      <alignment horizontal="center" vertical="center" wrapText="1"/>
      <protection hidden="1"/>
    </xf>
    <xf numFmtId="9" fontId="18" fillId="14" borderId="39" xfId="1" applyFont="1" applyFill="1" applyBorder="1" applyAlignment="1" applyProtection="1">
      <alignment horizontal="center" vertical="center" wrapText="1"/>
      <protection hidden="1"/>
    </xf>
    <xf numFmtId="9" fontId="18" fillId="14" borderId="40" xfId="1" applyFont="1" applyFill="1" applyBorder="1" applyAlignment="1" applyProtection="1">
      <alignment horizontal="center" wrapText="1"/>
      <protection hidden="1"/>
    </xf>
    <xf numFmtId="9" fontId="18" fillId="14" borderId="41" xfId="1" applyFont="1" applyFill="1" applyBorder="1" applyAlignment="1" applyProtection="1">
      <alignment horizontal="center" wrapText="1"/>
      <protection hidden="1"/>
    </xf>
    <xf numFmtId="9" fontId="18" fillId="14" borderId="39" xfId="1" applyFont="1" applyFill="1" applyBorder="1" applyAlignment="1" applyProtection="1">
      <alignment horizontal="center" wrapText="1"/>
      <protection hidden="1"/>
    </xf>
    <xf numFmtId="9" fontId="16" fillId="14" borderId="40" xfId="1" applyFont="1" applyFill="1" applyBorder="1" applyAlignment="1" applyProtection="1">
      <alignment horizontal="center" wrapText="1"/>
      <protection hidden="1"/>
    </xf>
    <xf numFmtId="9" fontId="16" fillId="14" borderId="41" xfId="1" applyFont="1" applyFill="1" applyBorder="1" applyAlignment="1" applyProtection="1">
      <alignment horizontal="center" wrapText="1"/>
      <protection hidden="1"/>
    </xf>
    <xf numFmtId="9" fontId="6" fillId="14" borderId="40" xfId="1" applyFont="1" applyFill="1" applyBorder="1" applyAlignment="1" applyProtection="1">
      <alignment horizontal="center" wrapText="1"/>
      <protection hidden="1"/>
    </xf>
    <xf numFmtId="9" fontId="6" fillId="14" borderId="41" xfId="1" applyFont="1" applyFill="1" applyBorder="1" applyAlignment="1" applyProtection="1">
      <alignment horizontal="center" wrapText="1"/>
      <protection hidden="1"/>
    </xf>
    <xf numFmtId="9" fontId="6" fillId="14" borderId="39" xfId="1" applyFont="1" applyFill="1" applyBorder="1" applyAlignment="1" applyProtection="1">
      <alignment horizontal="center" wrapText="1"/>
      <protection hidden="1"/>
    </xf>
    <xf numFmtId="9" fontId="16" fillId="14" borderId="40" xfId="1" applyFont="1" applyFill="1" applyBorder="1" applyAlignment="1" applyProtection="1">
      <alignment horizontal="center" vertical="center" wrapText="1"/>
      <protection hidden="1"/>
    </xf>
    <xf numFmtId="9" fontId="16" fillId="14" borderId="41" xfId="1" applyFont="1" applyFill="1" applyBorder="1" applyAlignment="1" applyProtection="1">
      <alignment horizontal="center" vertical="center" wrapText="1"/>
      <protection hidden="1"/>
    </xf>
    <xf numFmtId="9" fontId="16" fillId="14" borderId="39" xfId="1" applyFont="1" applyFill="1" applyBorder="1" applyAlignment="1" applyProtection="1">
      <alignment horizontal="center" vertical="center" wrapText="1"/>
      <protection hidden="1"/>
    </xf>
    <xf numFmtId="0" fontId="14" fillId="4" borderId="0" xfId="0" applyFont="1" applyFill="1" applyBorder="1" applyAlignment="1" applyProtection="1">
      <alignment horizontal="left" vertical="top" wrapText="1"/>
      <protection hidden="1"/>
    </xf>
    <xf numFmtId="0" fontId="16" fillId="20" borderId="0" xfId="0" applyFont="1" applyFill="1" applyBorder="1" applyAlignment="1" applyProtection="1">
      <alignment horizontal="center" vertical="center" wrapText="1"/>
      <protection hidden="1"/>
    </xf>
    <xf numFmtId="0" fontId="45" fillId="6" borderId="28" xfId="0" applyFont="1" applyFill="1" applyBorder="1" applyAlignment="1" applyProtection="1">
      <alignment vertical="top" wrapText="1"/>
      <protection hidden="1"/>
    </xf>
    <xf numFmtId="0" fontId="21" fillId="4" borderId="0" xfId="0" applyFont="1" applyFill="1" applyBorder="1" applyAlignment="1" applyProtection="1">
      <alignment horizontal="center" wrapText="1"/>
      <protection hidden="1"/>
    </xf>
    <xf numFmtId="0" fontId="19" fillId="4" borderId="16" xfId="0" applyFont="1" applyFill="1" applyBorder="1" applyAlignment="1" applyProtection="1">
      <alignment horizontal="center" vertical="center" wrapText="1"/>
      <protection hidden="1"/>
    </xf>
    <xf numFmtId="0" fontId="45" fillId="20" borderId="28" xfId="0" applyFont="1" applyFill="1" applyBorder="1" applyAlignment="1" applyProtection="1">
      <alignment vertical="center" wrapText="1"/>
      <protection hidden="1"/>
    </xf>
    <xf numFmtId="0" fontId="45" fillId="19" borderId="28" xfId="0" applyFont="1" applyFill="1" applyBorder="1" applyAlignment="1" applyProtection="1">
      <alignment vertical="center" wrapText="1"/>
      <protection hidden="1"/>
    </xf>
    <xf numFmtId="0" fontId="45" fillId="3" borderId="28" xfId="0" applyFont="1" applyFill="1" applyBorder="1" applyAlignment="1" applyProtection="1">
      <alignment vertical="center" wrapText="1"/>
      <protection hidden="1"/>
    </xf>
    <xf numFmtId="0" fontId="45" fillId="17" borderId="28" xfId="0" applyFont="1" applyFill="1" applyBorder="1" applyAlignment="1" applyProtection="1">
      <alignment vertical="top" wrapText="1"/>
      <protection hidden="1"/>
    </xf>
    <xf numFmtId="0" fontId="45" fillId="38" borderId="28" xfId="0" applyFont="1" applyFill="1" applyBorder="1" applyAlignment="1" applyProtection="1">
      <alignment vertical="center" wrapText="1"/>
      <protection hidden="1"/>
    </xf>
    <xf numFmtId="0" fontId="16" fillId="36" borderId="0" xfId="0" applyFont="1" applyFill="1" applyBorder="1" applyAlignment="1" applyProtection="1">
      <alignment vertical="center" wrapText="1"/>
      <protection hidden="1"/>
    </xf>
    <xf numFmtId="0" fontId="93" fillId="15" borderId="49" xfId="0" applyFont="1" applyFill="1" applyBorder="1" applyAlignment="1" applyProtection="1">
      <alignment horizontal="center" vertical="center"/>
      <protection hidden="1"/>
    </xf>
    <xf numFmtId="0" fontId="93" fillId="15" borderId="64" xfId="0" applyFont="1" applyFill="1" applyBorder="1" applyAlignment="1" applyProtection="1">
      <alignment horizontal="center" vertical="center"/>
      <protection hidden="1"/>
    </xf>
    <xf numFmtId="0" fontId="93" fillId="15" borderId="65" xfId="0" applyFont="1" applyFill="1" applyBorder="1" applyAlignment="1" applyProtection="1">
      <alignment horizontal="center" vertical="center"/>
      <protection hidden="1"/>
    </xf>
    <xf numFmtId="0" fontId="93" fillId="15" borderId="50" xfId="0" applyFont="1" applyFill="1" applyBorder="1" applyAlignment="1" applyProtection="1">
      <alignment horizontal="center" vertical="center" textRotation="255"/>
      <protection hidden="1"/>
    </xf>
    <xf numFmtId="0" fontId="93" fillId="15" borderId="48" xfId="0" applyFont="1" applyFill="1" applyBorder="1" applyAlignment="1" applyProtection="1">
      <alignment horizontal="center" vertical="center" textRotation="255"/>
      <protection hidden="1"/>
    </xf>
    <xf numFmtId="0" fontId="93" fillId="15" borderId="66" xfId="0" applyFont="1" applyFill="1" applyBorder="1" applyAlignment="1" applyProtection="1">
      <alignment horizontal="center" vertical="center" textRotation="255"/>
      <protection hidden="1"/>
    </xf>
    <xf numFmtId="0" fontId="93" fillId="12" borderId="49" xfId="0" applyFont="1" applyFill="1" applyBorder="1" applyAlignment="1" applyProtection="1">
      <alignment horizontal="center" vertical="center"/>
      <protection hidden="1"/>
    </xf>
    <xf numFmtId="0" fontId="93" fillId="12" borderId="64" xfId="0" applyFont="1" applyFill="1" applyBorder="1" applyAlignment="1" applyProtection="1">
      <alignment horizontal="center" vertical="center"/>
      <protection hidden="1"/>
    </xf>
    <xf numFmtId="0" fontId="93" fillId="12" borderId="65" xfId="0" applyFont="1" applyFill="1" applyBorder="1" applyAlignment="1" applyProtection="1">
      <alignment horizontal="center" vertical="center"/>
      <protection hidden="1"/>
    </xf>
    <xf numFmtId="0" fontId="93" fillId="12" borderId="50" xfId="0" applyFont="1" applyFill="1" applyBorder="1" applyAlignment="1" applyProtection="1">
      <alignment horizontal="center" vertical="center" textRotation="255"/>
      <protection hidden="1"/>
    </xf>
    <xf numFmtId="0" fontId="93" fillId="12" borderId="48" xfId="0" applyFont="1" applyFill="1" applyBorder="1" applyAlignment="1" applyProtection="1">
      <alignment horizontal="center" vertical="center" textRotation="255"/>
      <protection hidden="1"/>
    </xf>
    <xf numFmtId="0" fontId="93" fillId="12" borderId="66" xfId="0" applyFont="1" applyFill="1" applyBorder="1" applyAlignment="1" applyProtection="1">
      <alignment horizontal="center" vertical="center" textRotation="255"/>
      <protection hidden="1"/>
    </xf>
    <xf numFmtId="0" fontId="93" fillId="33" borderId="49" xfId="0" applyFont="1" applyFill="1" applyBorder="1" applyAlignment="1" applyProtection="1">
      <alignment horizontal="center" vertical="center"/>
      <protection hidden="1"/>
    </xf>
    <xf numFmtId="0" fontId="93" fillId="33" borderId="64" xfId="0" applyFont="1" applyFill="1" applyBorder="1" applyAlignment="1" applyProtection="1">
      <alignment horizontal="center" vertical="center"/>
      <protection hidden="1"/>
    </xf>
    <xf numFmtId="0" fontId="93" fillId="33" borderId="65" xfId="0" applyFont="1" applyFill="1" applyBorder="1" applyAlignment="1" applyProtection="1">
      <alignment horizontal="center" vertical="center"/>
      <protection hidden="1"/>
    </xf>
    <xf numFmtId="0" fontId="93" fillId="38" borderId="50" xfId="0" applyFont="1" applyFill="1" applyBorder="1" applyAlignment="1" applyProtection="1">
      <alignment horizontal="center" vertical="center" textRotation="255"/>
      <protection hidden="1"/>
    </xf>
    <xf numFmtId="0" fontId="93" fillId="38" borderId="48" xfId="0" applyFont="1" applyFill="1" applyBorder="1" applyAlignment="1" applyProtection="1">
      <alignment horizontal="center" vertical="center" textRotation="255"/>
      <protection hidden="1"/>
    </xf>
    <xf numFmtId="0" fontId="93" fillId="38" borderId="66" xfId="0" applyFont="1" applyFill="1" applyBorder="1" applyAlignment="1" applyProtection="1">
      <alignment horizontal="center" vertical="center" textRotation="255"/>
      <protection hidden="1"/>
    </xf>
    <xf numFmtId="0" fontId="93" fillId="39" borderId="49" xfId="0" applyFont="1" applyFill="1" applyBorder="1" applyAlignment="1" applyProtection="1">
      <alignment horizontal="center" vertical="center"/>
      <protection hidden="1"/>
    </xf>
    <xf numFmtId="0" fontId="93" fillId="39" borderId="64" xfId="0" applyFont="1" applyFill="1" applyBorder="1" applyAlignment="1" applyProtection="1">
      <alignment horizontal="center" vertical="center"/>
      <protection hidden="1"/>
    </xf>
    <xf numFmtId="0" fontId="93" fillId="39" borderId="65" xfId="0" applyFont="1" applyFill="1" applyBorder="1" applyAlignment="1" applyProtection="1">
      <alignment horizontal="center" vertical="center"/>
      <protection hidden="1"/>
    </xf>
    <xf numFmtId="0" fontId="93" fillId="39" borderId="50" xfId="0" applyFont="1" applyFill="1" applyBorder="1" applyAlignment="1" applyProtection="1">
      <alignment horizontal="center" vertical="center" textRotation="255"/>
      <protection hidden="1"/>
    </xf>
    <xf numFmtId="0" fontId="93" fillId="39" borderId="48" xfId="0" applyFont="1" applyFill="1" applyBorder="1" applyAlignment="1" applyProtection="1">
      <alignment horizontal="center" vertical="center" textRotation="255"/>
      <protection hidden="1"/>
    </xf>
    <xf numFmtId="0" fontId="93" fillId="39" borderId="66" xfId="0" applyFont="1" applyFill="1" applyBorder="1" applyAlignment="1" applyProtection="1">
      <alignment horizontal="center" vertical="center" textRotation="255"/>
      <protection hidden="1"/>
    </xf>
    <xf numFmtId="0" fontId="117" fillId="2" borderId="0" xfId="0" applyFont="1" applyFill="1" applyAlignment="1" applyProtection="1">
      <alignment horizontal="center" vertical="top" wrapText="1"/>
      <protection hidden="1"/>
    </xf>
    <xf numFmtId="0" fontId="4" fillId="16" borderId="49" xfId="0" applyFont="1" applyFill="1" applyBorder="1" applyAlignment="1" applyProtection="1">
      <alignment horizontal="center" vertical="center" textRotation="255"/>
      <protection hidden="1"/>
    </xf>
    <xf numFmtId="0" fontId="4" fillId="16" borderId="64" xfId="0" applyFont="1" applyFill="1" applyBorder="1" applyAlignment="1" applyProtection="1">
      <alignment horizontal="center" vertical="center" textRotation="255"/>
      <protection hidden="1"/>
    </xf>
    <xf numFmtId="0" fontId="4" fillId="16" borderId="65" xfId="0" applyFont="1" applyFill="1" applyBorder="1" applyAlignment="1" applyProtection="1">
      <alignment horizontal="center" vertical="center" textRotation="255"/>
      <protection hidden="1"/>
    </xf>
    <xf numFmtId="0" fontId="56" fillId="18" borderId="49" xfId="0" applyFont="1" applyFill="1" applyBorder="1" applyAlignment="1" applyProtection="1">
      <alignment horizontal="center" vertical="center"/>
      <protection hidden="1"/>
    </xf>
    <xf numFmtId="0" fontId="56" fillId="18" borderId="64" xfId="0" applyFont="1" applyFill="1" applyBorder="1" applyAlignment="1" applyProtection="1">
      <alignment horizontal="center" vertical="center"/>
      <protection hidden="1"/>
    </xf>
    <xf numFmtId="0" fontId="56" fillId="18" borderId="65" xfId="0" applyFont="1" applyFill="1" applyBorder="1" applyAlignment="1" applyProtection="1">
      <alignment horizontal="center" vertical="center"/>
      <protection hidden="1"/>
    </xf>
    <xf numFmtId="0" fontId="56" fillId="18" borderId="50" xfId="0" applyFont="1" applyFill="1" applyBorder="1" applyAlignment="1" applyProtection="1">
      <alignment horizontal="center" vertical="center" textRotation="255"/>
      <protection hidden="1"/>
    </xf>
    <xf numFmtId="0" fontId="56" fillId="18" borderId="48" xfId="0" applyFont="1" applyFill="1" applyBorder="1" applyAlignment="1" applyProtection="1">
      <alignment horizontal="center" vertical="center" textRotation="255"/>
      <protection hidden="1"/>
    </xf>
    <xf numFmtId="0" fontId="56" fillId="18" borderId="66" xfId="0" applyFont="1" applyFill="1" applyBorder="1" applyAlignment="1" applyProtection="1">
      <alignment horizontal="center" vertical="center" textRotation="255"/>
      <protection hidden="1"/>
    </xf>
  </cellXfs>
  <cellStyles count="9">
    <cellStyle name="Comma" xfId="7" builtinId="3"/>
    <cellStyle name="Flashing" xfId="6" xr:uid="{00000000-0005-0000-0000-000001000000}"/>
    <cellStyle name="Hyperlink" xfId="8" builtinId="8"/>
    <cellStyle name="Linked Cell" xfId="2" builtinId="24"/>
    <cellStyle name="Normal" xfId="0" builtinId="0"/>
    <cellStyle name="Normal 2" xfId="4" xr:uid="{00000000-0005-0000-0000-000005000000}"/>
    <cellStyle name="Normal 3" xfId="5" xr:uid="{00000000-0005-0000-0000-000006000000}"/>
    <cellStyle name="Percent" xfId="1" builtinId="5"/>
    <cellStyle name="Total" xfId="3" builtinId="25"/>
  </cellStyles>
  <dxfs count="612">
    <dxf>
      <font>
        <color theme="0"/>
      </font>
      <fill>
        <patternFill>
          <bgColor rgb="FFC00000"/>
        </patternFill>
      </fill>
      <border>
        <vertical/>
        <horizontal/>
      </border>
    </dxf>
    <dxf>
      <font>
        <color theme="0"/>
      </font>
      <fill>
        <patternFill>
          <bgColor rgb="FFC00000"/>
        </patternFill>
      </fill>
    </dxf>
    <dxf>
      <fill>
        <patternFill>
          <bgColor rgb="FFFF0000"/>
        </patternFill>
      </fill>
    </dxf>
    <dxf>
      <font>
        <color theme="0"/>
      </font>
      <fill>
        <patternFill>
          <bgColor rgb="FFC00000"/>
        </patternFill>
      </fill>
    </dxf>
    <dxf>
      <fill>
        <gradientFill>
          <stop position="0">
            <color theme="0"/>
          </stop>
          <stop position="1">
            <color rgb="FFFF0000"/>
          </stop>
        </gradientFill>
      </fill>
    </dxf>
    <dxf>
      <fill>
        <gradientFill>
          <stop position="0">
            <color theme="0"/>
          </stop>
          <stop position="1">
            <color rgb="FFFF0000"/>
          </stop>
        </gradientFill>
      </fill>
    </dxf>
    <dxf>
      <fill>
        <gradientFill>
          <stop position="0">
            <color theme="0"/>
          </stop>
          <stop position="1">
            <color rgb="FFFF0000"/>
          </stop>
        </gradientFill>
      </fill>
    </dxf>
    <dxf>
      <fill>
        <gradientFill>
          <stop position="0">
            <color theme="0"/>
          </stop>
          <stop position="1">
            <color rgb="FFFF0000"/>
          </stop>
        </gradientFill>
      </fill>
    </dxf>
    <dxf>
      <fill>
        <gradientFill>
          <stop position="0">
            <color theme="0"/>
          </stop>
          <stop position="1">
            <color rgb="FFFF0000"/>
          </stop>
        </gradientFill>
      </fill>
    </dxf>
    <dxf>
      <fill>
        <gradientFill>
          <stop position="0">
            <color theme="0"/>
          </stop>
          <stop position="1">
            <color rgb="FFFF0000"/>
          </stop>
        </gradientFill>
      </fill>
    </dxf>
    <dxf>
      <fill>
        <gradientFill>
          <stop position="0">
            <color theme="0"/>
          </stop>
          <stop position="1">
            <color rgb="FFFF0000"/>
          </stop>
        </gradientFill>
      </fill>
    </dxf>
    <dxf>
      <fill>
        <gradientFill>
          <stop position="0">
            <color theme="0"/>
          </stop>
          <stop position="1">
            <color rgb="FFFF0000"/>
          </stop>
        </gradientFill>
      </fill>
    </dxf>
    <dxf>
      <fill>
        <gradientFill>
          <stop position="0">
            <color theme="0"/>
          </stop>
          <stop position="1">
            <color rgb="FFFF0000"/>
          </stop>
        </gradient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0"/>
      </font>
      <fill>
        <patternFill patternType="gray0625">
          <bgColor theme="1" tint="0.24994659260841701"/>
        </patternFill>
      </fill>
      <border>
        <top/>
        <bottom style="dashDotDot">
          <color theme="0"/>
        </bottom>
        <vertical/>
        <horizontal/>
      </border>
    </dxf>
    <dxf>
      <fill>
        <gradientFill type="path" left="0.5" right="0.5" top="0.5" bottom="0.5">
          <stop position="0">
            <color theme="0"/>
          </stop>
          <stop position="1">
            <color rgb="FFC00000"/>
          </stop>
        </gradientFill>
      </fill>
    </dxf>
    <dxf>
      <font>
        <color theme="0"/>
      </font>
      <fill>
        <gradientFill type="path">
          <stop position="0">
            <color theme="0"/>
          </stop>
          <stop position="1">
            <color rgb="FFC00000"/>
          </stop>
        </gradientFill>
      </fill>
      <border>
        <top style="thin">
          <color auto="1"/>
        </top>
        <bottom style="thin">
          <color auto="1"/>
        </bottom>
        <vertical/>
        <horizontal/>
      </border>
    </dxf>
    <dxf>
      <fill>
        <gradientFill type="path" left="0.5" right="0.5" top="0.5" bottom="0.5">
          <stop position="0">
            <color theme="0"/>
          </stop>
          <stop position="1">
            <color rgb="FFC00000"/>
          </stop>
        </gradientFill>
      </fill>
    </dxf>
    <dxf>
      <font>
        <color theme="0"/>
      </font>
      <fill>
        <gradientFill type="path">
          <stop position="0">
            <color theme="0"/>
          </stop>
          <stop position="1">
            <color rgb="FFC00000"/>
          </stop>
        </gradientFill>
      </fill>
      <border>
        <top style="thin">
          <color auto="1"/>
        </top>
        <bottom style="thin">
          <color auto="1"/>
        </bottom>
        <vertical/>
        <horizontal/>
      </border>
    </dxf>
    <dxf>
      <fill>
        <gradientFill type="path" left="0.5" right="0.5" top="0.5" bottom="0.5">
          <stop position="0">
            <color theme="0"/>
          </stop>
          <stop position="1">
            <color rgb="FFC00000"/>
          </stop>
        </gradientFill>
      </fill>
    </dxf>
    <dxf>
      <font>
        <color theme="0"/>
      </font>
      <fill>
        <patternFill patternType="gray0625">
          <bgColor theme="1" tint="0.24994659260841701"/>
        </patternFill>
      </fill>
      <border>
        <top/>
        <bottom style="dashDotDot">
          <color theme="0"/>
        </bottom>
        <vertical/>
        <horizontal/>
      </border>
    </dxf>
    <dxf>
      <font>
        <color theme="0"/>
      </font>
      <fill>
        <gradientFill type="path">
          <stop position="0">
            <color theme="0"/>
          </stop>
          <stop position="1">
            <color rgb="FFC00000"/>
          </stop>
        </gradientFill>
      </fill>
      <border>
        <top style="thin">
          <color auto="1"/>
        </top>
        <bottom style="thin">
          <color auto="1"/>
        </bottom>
        <vertical/>
        <horizontal/>
      </border>
    </dxf>
    <dxf>
      <font>
        <color theme="6" tint="0.79998168889431442"/>
      </font>
      <fill>
        <patternFill>
          <bgColor theme="6" tint="0.79998168889431442"/>
        </patternFill>
      </fill>
    </dxf>
    <dxf>
      <font>
        <color theme="6" tint="0.79998168889431442"/>
      </font>
      <fill>
        <patternFill>
          <bgColor theme="6" tint="0.79998168889431442"/>
        </patternFill>
      </fill>
    </dxf>
    <dxf>
      <font>
        <color rgb="FFC00000"/>
      </font>
      <fill>
        <patternFill>
          <bgColor theme="6" tint="0.79998168889431442"/>
        </patternFill>
      </fill>
    </dxf>
    <dxf>
      <font>
        <color theme="0" tint="-0.499984740745262"/>
      </font>
      <fill>
        <patternFill>
          <bgColor theme="0" tint="-0.499984740745262"/>
        </patternFill>
      </fill>
    </dxf>
    <dxf>
      <font>
        <color theme="6" tint="0.79998168889431442"/>
      </font>
    </dxf>
    <dxf>
      <font>
        <color theme="6" tint="0.79998168889431442"/>
      </font>
    </dxf>
    <dxf>
      <font>
        <color theme="6" tint="0.79998168889431442"/>
      </font>
    </dxf>
    <dxf>
      <font>
        <color theme="6" tint="0.79998168889431442"/>
      </font>
      <border>
        <left/>
        <right/>
        <top/>
        <bottom/>
      </border>
    </dxf>
    <dxf>
      <font>
        <color theme="6" tint="0.79998168889431442"/>
      </font>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6" tint="0.79998168889431442"/>
      </font>
    </dxf>
    <dxf>
      <font>
        <color theme="6" tint="0.79998168889431442"/>
      </font>
    </dxf>
    <dxf>
      <font>
        <color theme="6" tint="0.79998168889431442"/>
      </font>
      <border>
        <left/>
        <right/>
        <top/>
        <bottom/>
      </border>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border>
        <left/>
        <right/>
        <top/>
        <bottom/>
      </border>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6" tint="0.79998168889431442"/>
      </font>
    </dxf>
    <dxf>
      <font>
        <color theme="0"/>
      </font>
      <fill>
        <gradientFill degree="270">
          <stop position="0">
            <color rgb="FFFF0000"/>
          </stop>
          <stop position="1">
            <color rgb="FFC00000"/>
          </stop>
        </gradient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ont>
        <color theme="0"/>
      </font>
      <fill>
        <patternFill>
          <bgColor theme="0"/>
        </patternFill>
      </fill>
    </dxf>
    <dxf>
      <font>
        <strike val="0"/>
        <u val="none"/>
        <color theme="0"/>
      </font>
      <fill>
        <patternFill>
          <bgColor rgb="FFC00000"/>
        </patternFill>
      </fill>
      <border>
        <left/>
        <right/>
        <top/>
        <bottom/>
      </border>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ont>
        <color theme="0"/>
      </font>
      <fill>
        <patternFill>
          <bgColor theme="0"/>
        </patternFill>
      </fill>
    </dxf>
    <dxf>
      <fill>
        <patternFill>
          <bgColor rgb="FFFF0000"/>
        </patternFill>
      </fill>
    </dxf>
    <dxf>
      <fill>
        <patternFill>
          <bgColor rgb="FF92D05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92D050"/>
        </patternFill>
      </fill>
    </dxf>
    <dxf>
      <font>
        <color theme="0"/>
      </font>
      <fill>
        <patternFill>
          <bgColor theme="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color theme="0"/>
      </font>
      <fill>
        <patternFill>
          <bgColor theme="0"/>
        </patternFill>
      </fill>
    </dxf>
    <dxf>
      <fill>
        <patternFill>
          <bgColor rgb="FFFF0000"/>
        </patternFill>
      </fill>
    </dxf>
    <dxf>
      <fill>
        <patternFill>
          <bgColor rgb="FFFFFF00"/>
        </patternFill>
      </fill>
    </dxf>
    <dxf>
      <font>
        <color theme="0"/>
      </font>
      <fill>
        <patternFill>
          <bgColor theme="0"/>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rgb="FFC00000"/>
      </font>
    </dxf>
    <dxf>
      <font>
        <color theme="0" tint="-0.499984740745262"/>
      </font>
      <fill>
        <patternFill>
          <bgColor theme="0" tint="-0.499984740745262"/>
        </patternFill>
      </fill>
      <border>
        <left/>
        <right/>
        <top/>
        <bottom/>
      </border>
    </dxf>
    <dxf>
      <font>
        <color theme="2"/>
      </font>
      <fill>
        <patternFill>
          <bgColor theme="6" tint="0.79998168889431442"/>
        </patternFill>
      </fill>
    </dxf>
    <dxf>
      <font>
        <color theme="2"/>
      </font>
      <fill>
        <patternFill>
          <bgColor theme="6" tint="0.79998168889431442"/>
        </patternFill>
      </fill>
    </dxf>
    <dxf>
      <font>
        <color theme="2"/>
      </font>
      <fill>
        <patternFill>
          <bgColor theme="6" tint="0.79998168889431442"/>
        </patternFill>
      </fill>
    </dxf>
    <dxf>
      <font>
        <color theme="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6" tint="0.79998168889431442"/>
      </font>
      <fill>
        <patternFill>
          <bgColor theme="6" tint="0.79998168889431442"/>
        </patternFill>
      </fill>
    </dxf>
    <dxf>
      <font>
        <color theme="3" tint="0.39994506668294322"/>
      </font>
      <fill>
        <patternFill>
          <bgColor theme="3"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9" tint="0.39994506668294322"/>
      </font>
      <fill>
        <patternFill>
          <bgColor theme="9" tint="0.3999450666829432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6" tint="0.79998168889431442"/>
      </font>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9" tint="0.39994506668294322"/>
      </font>
      <fill>
        <patternFill>
          <bgColor theme="9" tint="0.39994506668294322"/>
        </patternFill>
      </fill>
    </dxf>
    <dxf>
      <font>
        <color theme="6" tint="0.79998168889431442"/>
      </font>
      <fill>
        <patternFill>
          <bgColor theme="6" tint="0.79998168889431442"/>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font>
      <fill>
        <patternFill>
          <bgColor theme="0"/>
        </patternFill>
      </fill>
    </dxf>
    <dxf>
      <font>
        <color rgb="FFC00000"/>
      </font>
    </dxf>
    <dxf>
      <font>
        <color rgb="FFC00000"/>
      </font>
    </dxf>
    <dxf>
      <font>
        <color rgb="FFC0000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ont>
        <color theme="0"/>
      </font>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rgb="FFC00000"/>
        </patternFill>
      </fill>
    </dxf>
    <dxf>
      <font>
        <color theme="1"/>
      </font>
      <fill>
        <patternFill>
          <bgColor rgb="FFC00000"/>
        </patternFill>
      </fill>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bottom/>
      </border>
    </dxf>
    <dxf>
      <font>
        <color theme="0"/>
      </font>
      <fill>
        <patternFill>
          <bgColor theme="0"/>
        </patternFill>
      </fill>
    </dxf>
    <dxf>
      <font>
        <color theme="0"/>
      </font>
      <fill>
        <patternFill>
          <bgColor theme="0"/>
        </patternFill>
      </fill>
      <border>
        <bottom/>
      </border>
    </dxf>
    <dxf>
      <font>
        <color theme="0"/>
      </font>
      <fill>
        <patternFill>
          <bgColor theme="0"/>
        </patternFill>
      </fill>
    </dxf>
  </dxfs>
  <tableStyles count="0" defaultTableStyle="TableStyleMedium2" defaultPivotStyle="PivotStyleLight16"/>
  <colors>
    <mruColors>
      <color rgb="FFFF5050"/>
      <color rgb="FFFDC3F6"/>
      <color rgb="FFFAC6FE"/>
      <color rgb="FFFFFF8B"/>
      <color rgb="FFE293FB"/>
      <color rgb="FFFF3300"/>
      <color rgb="FF000000"/>
      <color rgb="FFF7A969"/>
      <color rgb="FFFF7C8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6374379683401"/>
          <c:y val="5.9460212326782308E-2"/>
          <c:w val="0.64260502138891396"/>
          <c:h val="0.9902827275446775"/>
        </c:manualLayout>
      </c:layout>
      <c:doughnutChart>
        <c:varyColors val="1"/>
        <c:ser>
          <c:idx val="1"/>
          <c:order val="1"/>
          <c:tx>
            <c:v>Donut</c:v>
          </c:tx>
          <c:dPt>
            <c:idx val="0"/>
            <c:bubble3D val="0"/>
            <c:spPr>
              <a:solidFill>
                <a:srgbClr val="CC0000"/>
              </a:solidFill>
              <a:ln w="19050">
                <a:solidFill>
                  <a:schemeClr val="lt1"/>
                </a:solidFill>
              </a:ln>
              <a:effectLst/>
            </c:spPr>
            <c:extLst>
              <c:ext xmlns:c16="http://schemas.microsoft.com/office/drawing/2014/chart" uri="{C3380CC4-5D6E-409C-BE32-E72D297353CC}">
                <c16:uniqueId val="{00000001-DF9F-40B0-B8BE-39FF879490FC}"/>
              </c:ext>
            </c:extLst>
          </c:dPt>
          <c:dPt>
            <c:idx val="1"/>
            <c:bubble3D val="0"/>
            <c:spPr>
              <a:solidFill>
                <a:srgbClr val="FF3300"/>
              </a:solidFill>
              <a:ln w="19050">
                <a:solidFill>
                  <a:schemeClr val="lt1"/>
                </a:solidFill>
              </a:ln>
              <a:effectLst/>
            </c:spPr>
            <c:extLst>
              <c:ext xmlns:c16="http://schemas.microsoft.com/office/drawing/2014/chart" uri="{C3380CC4-5D6E-409C-BE32-E72D297353CC}">
                <c16:uniqueId val="{00000003-DF9F-40B0-B8BE-39FF879490F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DF9F-40B0-B8BE-39FF879490FC}"/>
              </c:ext>
            </c:extLst>
          </c:dPt>
          <c:dPt>
            <c:idx val="3"/>
            <c:bubble3D val="0"/>
            <c:spPr>
              <a:solidFill>
                <a:srgbClr val="FF9953"/>
              </a:solidFill>
              <a:ln w="19050">
                <a:solidFill>
                  <a:schemeClr val="lt1"/>
                </a:solidFill>
              </a:ln>
              <a:effectLst/>
            </c:spPr>
            <c:extLst>
              <c:ext xmlns:c16="http://schemas.microsoft.com/office/drawing/2014/chart" uri="{C3380CC4-5D6E-409C-BE32-E72D297353CC}">
                <c16:uniqueId val="{00000007-DF9F-40B0-B8BE-39FF879490FC}"/>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9-DF9F-40B0-B8BE-39FF879490FC}"/>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DF9F-40B0-B8BE-39FF879490FC}"/>
              </c:ext>
            </c:extLst>
          </c:dPt>
          <c:dPt>
            <c:idx val="6"/>
            <c:bubble3D val="0"/>
            <c:spPr>
              <a:solidFill>
                <a:srgbClr val="CCFF33"/>
              </a:solidFill>
              <a:ln w="19050">
                <a:solidFill>
                  <a:schemeClr val="lt1"/>
                </a:solidFill>
              </a:ln>
              <a:effectLst/>
            </c:spPr>
            <c:extLst>
              <c:ext xmlns:c16="http://schemas.microsoft.com/office/drawing/2014/chart" uri="{C3380CC4-5D6E-409C-BE32-E72D297353CC}">
                <c16:uniqueId val="{0000000D-DF9F-40B0-B8BE-39FF879490FC}"/>
              </c:ext>
            </c:extLst>
          </c:dPt>
          <c:dPt>
            <c:idx val="7"/>
            <c:bubble3D val="0"/>
            <c:spPr>
              <a:solidFill>
                <a:srgbClr val="92D050"/>
              </a:solidFill>
              <a:ln w="19050">
                <a:solidFill>
                  <a:schemeClr val="lt1"/>
                </a:solidFill>
              </a:ln>
              <a:effectLst/>
            </c:spPr>
            <c:extLst>
              <c:ext xmlns:c16="http://schemas.microsoft.com/office/drawing/2014/chart" uri="{C3380CC4-5D6E-409C-BE32-E72D297353CC}">
                <c16:uniqueId val="{0000000F-DF9F-40B0-B8BE-39FF879490F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DF9F-40B0-B8BE-39FF879490FC}"/>
              </c:ext>
            </c:extLst>
          </c:dPt>
          <c:dPt>
            <c:idx val="9"/>
            <c:bubble3D val="0"/>
            <c:spPr>
              <a:solidFill>
                <a:srgbClr val="006600"/>
              </a:solidFill>
              <a:ln w="19050">
                <a:solidFill>
                  <a:schemeClr val="lt1"/>
                </a:solidFill>
              </a:ln>
              <a:effectLst/>
            </c:spPr>
            <c:extLst>
              <c:ext xmlns:c16="http://schemas.microsoft.com/office/drawing/2014/chart" uri="{C3380CC4-5D6E-409C-BE32-E72D297353CC}">
                <c16:uniqueId val="{00000013-DF9F-40B0-B8BE-39FF879490FC}"/>
              </c:ext>
            </c:extLst>
          </c:dPt>
          <c:dPt>
            <c:idx val="10"/>
            <c:bubble3D val="0"/>
            <c:spPr>
              <a:noFill/>
              <a:ln w="19050">
                <a:noFill/>
              </a:ln>
              <a:effectLst/>
            </c:spPr>
            <c:extLst>
              <c:ext xmlns:c16="http://schemas.microsoft.com/office/drawing/2014/chart" uri="{C3380CC4-5D6E-409C-BE32-E72D297353CC}">
                <c16:uniqueId val="{00000015-DF9F-40B0-B8BE-39FF879490FC}"/>
              </c:ext>
            </c:extLst>
          </c:dPt>
          <c:val>
            <c:numLit>
              <c:formatCode>General</c:formatCode>
              <c:ptCount val="11"/>
              <c:pt idx="0">
                <c:v>5</c:v>
              </c:pt>
              <c:pt idx="1">
                <c:v>5</c:v>
              </c:pt>
              <c:pt idx="2">
                <c:v>5</c:v>
              </c:pt>
              <c:pt idx="3">
                <c:v>5</c:v>
              </c:pt>
              <c:pt idx="4">
                <c:v>5</c:v>
              </c:pt>
              <c:pt idx="5">
                <c:v>5</c:v>
              </c:pt>
              <c:pt idx="6">
                <c:v>5</c:v>
              </c:pt>
              <c:pt idx="7">
                <c:v>5</c:v>
              </c:pt>
              <c:pt idx="8">
                <c:v>5</c:v>
              </c:pt>
              <c:pt idx="9">
                <c:v>5</c:v>
              </c:pt>
              <c:pt idx="10">
                <c:v>50</c:v>
              </c:pt>
            </c:numLit>
          </c:val>
          <c:extLst>
            <c:ext xmlns:c16="http://schemas.microsoft.com/office/drawing/2014/chart" uri="{C3380CC4-5D6E-409C-BE32-E72D297353CC}">
              <c16:uniqueId val="{00000016-DF9F-40B0-B8BE-39FF879490FC}"/>
            </c:ext>
          </c:extLst>
        </c:ser>
        <c:dLbls>
          <c:showLegendKey val="0"/>
          <c:showVal val="0"/>
          <c:showCatName val="0"/>
          <c:showSerName val="0"/>
          <c:showPercent val="0"/>
          <c:showBubbleSize val="0"/>
          <c:showLeaderLines val="1"/>
        </c:dLbls>
        <c:firstSliceAng val="270"/>
        <c:holeSize val="50"/>
      </c:doughnutChart>
      <c:pieChart>
        <c:varyColors val="1"/>
        <c:ser>
          <c:idx val="0"/>
          <c:order val="0"/>
          <c:spPr>
            <a:noFill/>
            <a:ln>
              <a:noFill/>
            </a:ln>
          </c:spPr>
          <c:dPt>
            <c:idx val="0"/>
            <c:bubble3D val="0"/>
            <c:spPr>
              <a:noFill/>
              <a:ln w="19050">
                <a:noFill/>
              </a:ln>
              <a:effectLst/>
            </c:spPr>
            <c:extLst>
              <c:ext xmlns:c16="http://schemas.microsoft.com/office/drawing/2014/chart" uri="{C3380CC4-5D6E-409C-BE32-E72D297353CC}">
                <c16:uniqueId val="{00000018-DF9F-40B0-B8BE-39FF879490FC}"/>
              </c:ext>
            </c:extLst>
          </c:dPt>
          <c:dPt>
            <c:idx val="1"/>
            <c:bubble3D val="0"/>
            <c:spPr>
              <a:noFill/>
              <a:ln w="19050">
                <a:noFill/>
              </a:ln>
              <a:effectLst/>
            </c:spPr>
            <c:extLst>
              <c:ext xmlns:c16="http://schemas.microsoft.com/office/drawing/2014/chart" uri="{C3380CC4-5D6E-409C-BE32-E72D297353CC}">
                <c16:uniqueId val="{0000001A-DF9F-40B0-B8BE-39FF879490FC}"/>
              </c:ext>
            </c:extLst>
          </c:dPt>
          <c:dPt>
            <c:idx val="2"/>
            <c:bubble3D val="0"/>
            <c:spPr>
              <a:noFill/>
              <a:ln w="19050">
                <a:noFill/>
              </a:ln>
              <a:effectLst/>
            </c:spPr>
            <c:extLst>
              <c:ext xmlns:c16="http://schemas.microsoft.com/office/drawing/2014/chart" uri="{C3380CC4-5D6E-409C-BE32-E72D297353CC}">
                <c16:uniqueId val="{0000001C-DF9F-40B0-B8BE-39FF879490FC}"/>
              </c:ext>
            </c:extLst>
          </c:dPt>
          <c:dPt>
            <c:idx val="3"/>
            <c:bubble3D val="0"/>
            <c:spPr>
              <a:solidFill>
                <a:schemeClr val="tx1"/>
              </a:solidFill>
              <a:ln w="19050">
                <a:solidFill>
                  <a:sysClr val="windowText" lastClr="000000"/>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D-F910-4D34-9C9B-A5FA1E0ED537}"/>
              </c:ext>
            </c:extLst>
          </c:dPt>
          <c:dPt>
            <c:idx val="4"/>
            <c:bubble3D val="0"/>
            <c:spPr>
              <a:noFill/>
              <a:ln w="19050">
                <a:noFill/>
              </a:ln>
              <a:effectLst/>
            </c:spPr>
            <c:extLst>
              <c:ext xmlns:c16="http://schemas.microsoft.com/office/drawing/2014/chart" uri="{C3380CC4-5D6E-409C-BE32-E72D297353CC}">
                <c16:uniqueId val="{0000001F-F910-4D34-9C9B-A5FA1E0ED537}"/>
              </c:ext>
            </c:extLst>
          </c:dPt>
          <c:cat>
            <c:strRef>
              <c:f>'I.Strategic Suitability'!$BN$17:$BN$21</c:f>
              <c:strCache>
                <c:ptCount val="5"/>
                <c:pt idx="0">
                  <c:v>Value </c:v>
                </c:pt>
                <c:pt idx="3">
                  <c:v>Pointer</c:v>
                </c:pt>
                <c:pt idx="4">
                  <c:v>End</c:v>
                </c:pt>
              </c:strCache>
            </c:strRef>
          </c:cat>
          <c:val>
            <c:numRef>
              <c:f>'I.Strategic Suitability'!$BO$17:$BO$21</c:f>
              <c:numCache>
                <c:formatCode>General</c:formatCode>
                <c:ptCount val="5"/>
                <c:pt idx="0">
                  <c:v>180</c:v>
                </c:pt>
                <c:pt idx="3">
                  <c:v>1</c:v>
                </c:pt>
                <c:pt idx="4">
                  <c:v>179</c:v>
                </c:pt>
              </c:numCache>
            </c:numRef>
          </c:val>
          <c:extLst>
            <c:ext xmlns:c16="http://schemas.microsoft.com/office/drawing/2014/chart" uri="{C3380CC4-5D6E-409C-BE32-E72D297353CC}">
              <c16:uniqueId val="{0000001D-DF9F-40B0-B8BE-39FF879490F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20910902952709"/>
          <c:y val="0.10411566894059573"/>
          <c:w val="0.79887487387679901"/>
          <c:h val="0.77899495908123995"/>
        </c:manualLayout>
      </c:layout>
      <c:doughnutChart>
        <c:varyColors val="1"/>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7417684681735"/>
          <c:y val="9.7172411823696087E-3"/>
          <c:w val="0.64260502138891396"/>
          <c:h val="0.9902827275446775"/>
        </c:manualLayout>
      </c:layout>
      <c:doughnutChart>
        <c:varyColors val="1"/>
        <c:ser>
          <c:idx val="1"/>
          <c:order val="1"/>
          <c:tx>
            <c:v>Donut</c:v>
          </c:tx>
          <c:dPt>
            <c:idx val="0"/>
            <c:bubble3D val="0"/>
            <c:spPr>
              <a:solidFill>
                <a:srgbClr val="CC0000"/>
              </a:solidFill>
              <a:ln w="19050">
                <a:solidFill>
                  <a:schemeClr val="lt1"/>
                </a:solidFill>
              </a:ln>
              <a:effectLst/>
            </c:spPr>
            <c:extLst>
              <c:ext xmlns:c16="http://schemas.microsoft.com/office/drawing/2014/chart" uri="{C3380CC4-5D6E-409C-BE32-E72D297353CC}">
                <c16:uniqueId val="{00000001-DF9F-40B0-B8BE-39FF879490FC}"/>
              </c:ext>
            </c:extLst>
          </c:dPt>
          <c:dPt>
            <c:idx val="1"/>
            <c:bubble3D val="0"/>
            <c:spPr>
              <a:solidFill>
                <a:srgbClr val="FF3300"/>
              </a:solidFill>
              <a:ln w="19050">
                <a:solidFill>
                  <a:schemeClr val="lt1"/>
                </a:solidFill>
              </a:ln>
              <a:effectLst/>
            </c:spPr>
            <c:extLst>
              <c:ext xmlns:c16="http://schemas.microsoft.com/office/drawing/2014/chart" uri="{C3380CC4-5D6E-409C-BE32-E72D297353CC}">
                <c16:uniqueId val="{00000003-DF9F-40B0-B8BE-39FF879490F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DF9F-40B0-B8BE-39FF879490FC}"/>
              </c:ext>
            </c:extLst>
          </c:dPt>
          <c:dPt>
            <c:idx val="3"/>
            <c:bubble3D val="0"/>
            <c:spPr>
              <a:solidFill>
                <a:srgbClr val="FF9953"/>
              </a:solidFill>
              <a:ln w="19050">
                <a:solidFill>
                  <a:schemeClr val="lt1"/>
                </a:solidFill>
              </a:ln>
              <a:effectLst/>
            </c:spPr>
            <c:extLst>
              <c:ext xmlns:c16="http://schemas.microsoft.com/office/drawing/2014/chart" uri="{C3380CC4-5D6E-409C-BE32-E72D297353CC}">
                <c16:uniqueId val="{00000007-DF9F-40B0-B8BE-39FF879490FC}"/>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9-DF9F-40B0-B8BE-39FF879490FC}"/>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DF9F-40B0-B8BE-39FF879490FC}"/>
              </c:ext>
            </c:extLst>
          </c:dPt>
          <c:dPt>
            <c:idx val="6"/>
            <c:bubble3D val="0"/>
            <c:spPr>
              <a:solidFill>
                <a:srgbClr val="CCFF33"/>
              </a:solidFill>
              <a:ln w="19050">
                <a:solidFill>
                  <a:schemeClr val="lt1"/>
                </a:solidFill>
              </a:ln>
              <a:effectLst/>
            </c:spPr>
            <c:extLst>
              <c:ext xmlns:c16="http://schemas.microsoft.com/office/drawing/2014/chart" uri="{C3380CC4-5D6E-409C-BE32-E72D297353CC}">
                <c16:uniqueId val="{0000000D-DF9F-40B0-B8BE-39FF879490FC}"/>
              </c:ext>
            </c:extLst>
          </c:dPt>
          <c:dPt>
            <c:idx val="7"/>
            <c:bubble3D val="0"/>
            <c:spPr>
              <a:solidFill>
                <a:srgbClr val="92D050"/>
              </a:solidFill>
              <a:ln w="19050">
                <a:solidFill>
                  <a:schemeClr val="lt1"/>
                </a:solidFill>
              </a:ln>
              <a:effectLst/>
            </c:spPr>
            <c:extLst>
              <c:ext xmlns:c16="http://schemas.microsoft.com/office/drawing/2014/chart" uri="{C3380CC4-5D6E-409C-BE32-E72D297353CC}">
                <c16:uniqueId val="{0000000F-DF9F-40B0-B8BE-39FF879490F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DF9F-40B0-B8BE-39FF879490FC}"/>
              </c:ext>
            </c:extLst>
          </c:dPt>
          <c:dPt>
            <c:idx val="9"/>
            <c:bubble3D val="0"/>
            <c:spPr>
              <a:solidFill>
                <a:srgbClr val="006600"/>
              </a:solidFill>
              <a:ln w="19050">
                <a:solidFill>
                  <a:schemeClr val="lt1"/>
                </a:solidFill>
              </a:ln>
              <a:effectLst/>
            </c:spPr>
            <c:extLst>
              <c:ext xmlns:c16="http://schemas.microsoft.com/office/drawing/2014/chart" uri="{C3380CC4-5D6E-409C-BE32-E72D297353CC}">
                <c16:uniqueId val="{00000013-DF9F-40B0-B8BE-39FF879490FC}"/>
              </c:ext>
            </c:extLst>
          </c:dPt>
          <c:dPt>
            <c:idx val="10"/>
            <c:bubble3D val="0"/>
            <c:spPr>
              <a:noFill/>
              <a:ln w="19050">
                <a:noFill/>
              </a:ln>
              <a:effectLst/>
            </c:spPr>
            <c:extLst>
              <c:ext xmlns:c16="http://schemas.microsoft.com/office/drawing/2014/chart" uri="{C3380CC4-5D6E-409C-BE32-E72D297353CC}">
                <c16:uniqueId val="{00000015-DF9F-40B0-B8BE-39FF879490FC}"/>
              </c:ext>
            </c:extLst>
          </c:dPt>
          <c:val>
            <c:numLit>
              <c:formatCode>General</c:formatCode>
              <c:ptCount val="11"/>
              <c:pt idx="0">
                <c:v>5</c:v>
              </c:pt>
              <c:pt idx="1">
                <c:v>5</c:v>
              </c:pt>
              <c:pt idx="2">
                <c:v>5</c:v>
              </c:pt>
              <c:pt idx="3">
                <c:v>5</c:v>
              </c:pt>
              <c:pt idx="4">
                <c:v>5</c:v>
              </c:pt>
              <c:pt idx="5">
                <c:v>5</c:v>
              </c:pt>
              <c:pt idx="6">
                <c:v>5</c:v>
              </c:pt>
              <c:pt idx="7">
                <c:v>5</c:v>
              </c:pt>
              <c:pt idx="8">
                <c:v>5</c:v>
              </c:pt>
              <c:pt idx="9">
                <c:v>5</c:v>
              </c:pt>
              <c:pt idx="10">
                <c:v>50</c:v>
              </c:pt>
            </c:numLit>
          </c:val>
          <c:extLst>
            <c:ext xmlns:c16="http://schemas.microsoft.com/office/drawing/2014/chart" uri="{C3380CC4-5D6E-409C-BE32-E72D297353CC}">
              <c16:uniqueId val="{00000016-DF9F-40B0-B8BE-39FF879490FC}"/>
            </c:ext>
          </c:extLst>
        </c:ser>
        <c:dLbls>
          <c:showLegendKey val="0"/>
          <c:showVal val="0"/>
          <c:showCatName val="0"/>
          <c:showSerName val="0"/>
          <c:showPercent val="0"/>
          <c:showBubbleSize val="0"/>
          <c:showLeaderLines val="1"/>
        </c:dLbls>
        <c:firstSliceAng val="270"/>
        <c:holeSize val="50"/>
      </c:doughnutChart>
      <c:pieChart>
        <c:varyColors val="1"/>
        <c:ser>
          <c:idx val="0"/>
          <c:order val="0"/>
          <c:spPr>
            <a:ln>
              <a:noFill/>
            </a:ln>
          </c:spPr>
          <c:dPt>
            <c:idx val="0"/>
            <c:bubble3D val="0"/>
            <c:spPr>
              <a:noFill/>
              <a:ln w="19050">
                <a:noFill/>
              </a:ln>
              <a:effectLst/>
            </c:spPr>
            <c:extLst>
              <c:ext xmlns:c16="http://schemas.microsoft.com/office/drawing/2014/chart" uri="{C3380CC4-5D6E-409C-BE32-E72D297353CC}">
                <c16:uniqueId val="{00000018-DF9F-40B0-B8BE-39FF879490FC}"/>
              </c:ext>
            </c:extLst>
          </c:dPt>
          <c:dPt>
            <c:idx val="1"/>
            <c:bubble3D val="0"/>
            <c:spPr>
              <a:solidFill>
                <a:srgbClr val="000000"/>
              </a:solidFill>
              <a:ln w="19050">
                <a:noFill/>
              </a:ln>
              <a:effectLst>
                <a:outerShdw blurRad="50800" dist="38100" algn="l" rotWithShape="0">
                  <a:prstClr val="black">
                    <a:alpha val="40000"/>
                  </a:prstClr>
                </a:outerShdw>
              </a:effectLst>
            </c:spPr>
            <c:extLst>
              <c:ext xmlns:c16="http://schemas.microsoft.com/office/drawing/2014/chart" uri="{C3380CC4-5D6E-409C-BE32-E72D297353CC}">
                <c16:uniqueId val="{0000001A-DF9F-40B0-B8BE-39FF879490FC}"/>
              </c:ext>
            </c:extLst>
          </c:dPt>
          <c:dPt>
            <c:idx val="2"/>
            <c:bubble3D val="0"/>
            <c:spPr>
              <a:noFill/>
              <a:ln w="19050">
                <a:noFill/>
              </a:ln>
              <a:effectLst/>
            </c:spPr>
            <c:extLst>
              <c:ext xmlns:c16="http://schemas.microsoft.com/office/drawing/2014/chart" uri="{C3380CC4-5D6E-409C-BE32-E72D297353CC}">
                <c16:uniqueId val="{0000001C-DF9F-40B0-B8BE-39FF879490FC}"/>
              </c:ext>
            </c:extLst>
          </c:dPt>
          <c:cat>
            <c:strRef>
              <c:f>'II.Preliminary Feasibility'!$BU$11:$BU$13</c:f>
              <c:strCache>
                <c:ptCount val="3"/>
                <c:pt idx="0">
                  <c:v>Value</c:v>
                </c:pt>
                <c:pt idx="1">
                  <c:v>Pointer</c:v>
                </c:pt>
                <c:pt idx="2">
                  <c:v>End</c:v>
                </c:pt>
              </c:strCache>
            </c:strRef>
          </c:cat>
          <c:val>
            <c:numRef>
              <c:f>'II.Preliminary Feasibility'!$BV$11:$BV$13</c:f>
              <c:numCache>
                <c:formatCode>General</c:formatCode>
                <c:ptCount val="3"/>
                <c:pt idx="0">
                  <c:v>180</c:v>
                </c:pt>
                <c:pt idx="1">
                  <c:v>1</c:v>
                </c:pt>
                <c:pt idx="2">
                  <c:v>179</c:v>
                </c:pt>
              </c:numCache>
            </c:numRef>
          </c:val>
          <c:extLst>
            <c:ext xmlns:c16="http://schemas.microsoft.com/office/drawing/2014/chart" uri="{C3380CC4-5D6E-409C-BE32-E72D297353CC}">
              <c16:uniqueId val="{0000001D-DF9F-40B0-B8BE-39FF879490F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20910902952709"/>
          <c:y val="0.10411566894059573"/>
          <c:w val="0.79887487387679901"/>
          <c:h val="0.77899495908123995"/>
        </c:manualLayout>
      </c:layout>
      <c:doughnutChart>
        <c:varyColors val="1"/>
        <c:ser>
          <c:idx val="1"/>
          <c:order val="1"/>
          <c:tx>
            <c:v>Donut</c:v>
          </c:tx>
          <c:dPt>
            <c:idx val="0"/>
            <c:bubble3D val="0"/>
            <c:spPr>
              <a:solidFill>
                <a:srgbClr val="CC0000"/>
              </a:solidFill>
              <a:ln w="19050">
                <a:solidFill>
                  <a:schemeClr val="lt1"/>
                </a:solidFill>
              </a:ln>
              <a:effectLst/>
            </c:spPr>
            <c:extLst>
              <c:ext xmlns:c16="http://schemas.microsoft.com/office/drawing/2014/chart" uri="{C3380CC4-5D6E-409C-BE32-E72D297353CC}">
                <c16:uniqueId val="{00000001-DF9F-40B0-B8BE-39FF879490FC}"/>
              </c:ext>
            </c:extLst>
          </c:dPt>
          <c:dPt>
            <c:idx val="1"/>
            <c:bubble3D val="0"/>
            <c:spPr>
              <a:solidFill>
                <a:srgbClr val="FF3300"/>
              </a:solidFill>
              <a:ln w="19050">
                <a:solidFill>
                  <a:schemeClr val="lt1"/>
                </a:solidFill>
              </a:ln>
              <a:effectLst/>
            </c:spPr>
            <c:extLst>
              <c:ext xmlns:c16="http://schemas.microsoft.com/office/drawing/2014/chart" uri="{C3380CC4-5D6E-409C-BE32-E72D297353CC}">
                <c16:uniqueId val="{00000003-DF9F-40B0-B8BE-39FF879490F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DF9F-40B0-B8BE-39FF879490FC}"/>
              </c:ext>
            </c:extLst>
          </c:dPt>
          <c:dPt>
            <c:idx val="3"/>
            <c:bubble3D val="0"/>
            <c:spPr>
              <a:solidFill>
                <a:srgbClr val="FF9953"/>
              </a:solidFill>
              <a:ln w="19050">
                <a:solidFill>
                  <a:schemeClr val="lt1"/>
                </a:solidFill>
              </a:ln>
              <a:effectLst/>
            </c:spPr>
            <c:extLst>
              <c:ext xmlns:c16="http://schemas.microsoft.com/office/drawing/2014/chart" uri="{C3380CC4-5D6E-409C-BE32-E72D297353CC}">
                <c16:uniqueId val="{00000007-DF9F-40B0-B8BE-39FF879490FC}"/>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9-DF9F-40B0-B8BE-39FF879490FC}"/>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DF9F-40B0-B8BE-39FF879490FC}"/>
              </c:ext>
            </c:extLst>
          </c:dPt>
          <c:dPt>
            <c:idx val="6"/>
            <c:bubble3D val="0"/>
            <c:spPr>
              <a:solidFill>
                <a:srgbClr val="CCFF33"/>
              </a:solidFill>
              <a:ln w="19050">
                <a:solidFill>
                  <a:schemeClr val="lt1"/>
                </a:solidFill>
              </a:ln>
              <a:effectLst/>
            </c:spPr>
            <c:extLst>
              <c:ext xmlns:c16="http://schemas.microsoft.com/office/drawing/2014/chart" uri="{C3380CC4-5D6E-409C-BE32-E72D297353CC}">
                <c16:uniqueId val="{0000000D-DF9F-40B0-B8BE-39FF879490FC}"/>
              </c:ext>
            </c:extLst>
          </c:dPt>
          <c:dPt>
            <c:idx val="7"/>
            <c:bubble3D val="0"/>
            <c:spPr>
              <a:solidFill>
                <a:srgbClr val="92D050"/>
              </a:solidFill>
              <a:ln w="19050">
                <a:solidFill>
                  <a:schemeClr val="lt1"/>
                </a:solidFill>
              </a:ln>
              <a:effectLst/>
            </c:spPr>
            <c:extLst>
              <c:ext xmlns:c16="http://schemas.microsoft.com/office/drawing/2014/chart" uri="{C3380CC4-5D6E-409C-BE32-E72D297353CC}">
                <c16:uniqueId val="{0000000F-DF9F-40B0-B8BE-39FF879490F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DF9F-40B0-B8BE-39FF879490FC}"/>
              </c:ext>
            </c:extLst>
          </c:dPt>
          <c:dPt>
            <c:idx val="9"/>
            <c:bubble3D val="0"/>
            <c:spPr>
              <a:solidFill>
                <a:srgbClr val="006600"/>
              </a:solidFill>
              <a:ln w="19050">
                <a:solidFill>
                  <a:schemeClr val="lt1"/>
                </a:solidFill>
              </a:ln>
              <a:effectLst/>
            </c:spPr>
            <c:extLst>
              <c:ext xmlns:c16="http://schemas.microsoft.com/office/drawing/2014/chart" uri="{C3380CC4-5D6E-409C-BE32-E72D297353CC}">
                <c16:uniqueId val="{00000013-DF9F-40B0-B8BE-39FF879490FC}"/>
              </c:ext>
            </c:extLst>
          </c:dPt>
          <c:dPt>
            <c:idx val="10"/>
            <c:bubble3D val="0"/>
            <c:spPr>
              <a:noFill/>
              <a:ln w="19050">
                <a:noFill/>
              </a:ln>
              <a:effectLst/>
            </c:spPr>
            <c:extLst>
              <c:ext xmlns:c16="http://schemas.microsoft.com/office/drawing/2014/chart" uri="{C3380CC4-5D6E-409C-BE32-E72D297353CC}">
                <c16:uniqueId val="{00000015-DF9F-40B0-B8BE-39FF879490FC}"/>
              </c:ext>
            </c:extLst>
          </c:dPt>
          <c:val>
            <c:numLit>
              <c:formatCode>General</c:formatCode>
              <c:ptCount val="11"/>
              <c:pt idx="0">
                <c:v>5</c:v>
              </c:pt>
              <c:pt idx="1">
                <c:v>5</c:v>
              </c:pt>
              <c:pt idx="2">
                <c:v>5</c:v>
              </c:pt>
              <c:pt idx="3">
                <c:v>5</c:v>
              </c:pt>
              <c:pt idx="4">
                <c:v>5</c:v>
              </c:pt>
              <c:pt idx="5">
                <c:v>5</c:v>
              </c:pt>
              <c:pt idx="6">
                <c:v>5</c:v>
              </c:pt>
              <c:pt idx="7">
                <c:v>5</c:v>
              </c:pt>
              <c:pt idx="8">
                <c:v>5</c:v>
              </c:pt>
              <c:pt idx="9">
                <c:v>5</c:v>
              </c:pt>
              <c:pt idx="10">
                <c:v>50</c:v>
              </c:pt>
            </c:numLit>
          </c:val>
          <c:extLst>
            <c:ext xmlns:c16="http://schemas.microsoft.com/office/drawing/2014/chart" uri="{C3380CC4-5D6E-409C-BE32-E72D297353CC}">
              <c16:uniqueId val="{00000016-DF9F-40B0-B8BE-39FF879490FC}"/>
            </c:ext>
          </c:extLst>
        </c:ser>
        <c:dLbls>
          <c:showLegendKey val="0"/>
          <c:showVal val="0"/>
          <c:showCatName val="0"/>
          <c:showSerName val="0"/>
          <c:showPercent val="0"/>
          <c:showBubbleSize val="0"/>
          <c:showLeaderLines val="1"/>
        </c:dLbls>
        <c:firstSliceAng val="270"/>
        <c:holeSize val="50"/>
      </c:doughnutChart>
      <c:pieChart>
        <c:varyColors val="1"/>
        <c:ser>
          <c:idx val="0"/>
          <c:order val="0"/>
          <c:spPr>
            <a:noFill/>
            <a:ln>
              <a:noFill/>
            </a:ln>
          </c:spPr>
          <c:explosion val="3"/>
          <c:dPt>
            <c:idx val="0"/>
            <c:bubble3D val="0"/>
            <c:spPr>
              <a:noFill/>
              <a:ln w="19050">
                <a:noFill/>
              </a:ln>
              <a:effectLst/>
            </c:spPr>
            <c:extLst>
              <c:ext xmlns:c16="http://schemas.microsoft.com/office/drawing/2014/chart" uri="{C3380CC4-5D6E-409C-BE32-E72D297353CC}">
                <c16:uniqueId val="{00000018-DF9F-40B0-B8BE-39FF879490FC}"/>
              </c:ext>
            </c:extLst>
          </c:dPt>
          <c:dPt>
            <c:idx val="1"/>
            <c:bubble3D val="0"/>
            <c:spPr>
              <a:solidFill>
                <a:schemeClr val="tx1"/>
              </a:solidFill>
              <a:ln w="19050">
                <a:solidFill>
                  <a:sysClr val="windowText" lastClr="000000"/>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A-DF9F-40B0-B8BE-39FF879490FC}"/>
              </c:ext>
            </c:extLst>
          </c:dPt>
          <c:dPt>
            <c:idx val="2"/>
            <c:bubble3D val="0"/>
            <c:spPr>
              <a:noFill/>
              <a:ln w="19050">
                <a:noFill/>
              </a:ln>
              <a:effectLst/>
            </c:spPr>
            <c:extLst>
              <c:ext xmlns:c16="http://schemas.microsoft.com/office/drawing/2014/chart" uri="{C3380CC4-5D6E-409C-BE32-E72D297353CC}">
                <c16:uniqueId val="{0000001C-DF9F-40B0-B8BE-39FF879490FC}"/>
              </c:ext>
            </c:extLst>
          </c:dPt>
          <c:cat>
            <c:strRef>
              <c:f>'III.Risk Assessment'!$BK$1:$BK$3</c:f>
              <c:strCache>
                <c:ptCount val="3"/>
                <c:pt idx="0">
                  <c:v>Value </c:v>
                </c:pt>
                <c:pt idx="1">
                  <c:v>Pointer</c:v>
                </c:pt>
                <c:pt idx="2">
                  <c:v>End</c:v>
                </c:pt>
              </c:strCache>
            </c:strRef>
          </c:cat>
          <c:val>
            <c:numRef>
              <c:f>'III.Risk Assessment'!$BL$1:$BL$3</c:f>
              <c:numCache>
                <c:formatCode>General</c:formatCode>
                <c:ptCount val="3"/>
                <c:pt idx="0">
                  <c:v>180</c:v>
                </c:pt>
                <c:pt idx="1">
                  <c:v>1</c:v>
                </c:pt>
                <c:pt idx="2">
                  <c:v>179</c:v>
                </c:pt>
              </c:numCache>
            </c:numRef>
          </c:val>
          <c:extLst>
            <c:ext xmlns:c16="http://schemas.microsoft.com/office/drawing/2014/chart" uri="{C3380CC4-5D6E-409C-BE32-E72D297353CC}">
              <c16:uniqueId val="{0000001D-DF9F-40B0-B8BE-39FF879490F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61159428576729"/>
          <c:y val="1.7040957055307261E-2"/>
          <c:w val="0.48554278527095573"/>
          <c:h val="0.8791308697096466"/>
        </c:manualLayout>
      </c:layout>
      <c:doughnutChart>
        <c:varyColors val="1"/>
        <c:ser>
          <c:idx val="1"/>
          <c:order val="1"/>
          <c:tx>
            <c:v>Donut</c:v>
          </c:tx>
          <c:dPt>
            <c:idx val="0"/>
            <c:bubble3D val="0"/>
            <c:spPr>
              <a:solidFill>
                <a:srgbClr val="CC0000"/>
              </a:solidFill>
              <a:ln w="19050">
                <a:solidFill>
                  <a:schemeClr val="lt1"/>
                </a:solidFill>
              </a:ln>
              <a:effectLst/>
            </c:spPr>
            <c:extLst>
              <c:ext xmlns:c16="http://schemas.microsoft.com/office/drawing/2014/chart" uri="{C3380CC4-5D6E-409C-BE32-E72D297353CC}">
                <c16:uniqueId val="{00000001-DF9F-40B0-B8BE-39FF879490FC}"/>
              </c:ext>
            </c:extLst>
          </c:dPt>
          <c:dPt>
            <c:idx val="1"/>
            <c:bubble3D val="0"/>
            <c:spPr>
              <a:solidFill>
                <a:srgbClr val="FF3300"/>
              </a:solidFill>
              <a:ln w="19050">
                <a:solidFill>
                  <a:schemeClr val="lt1"/>
                </a:solidFill>
              </a:ln>
              <a:effectLst/>
            </c:spPr>
            <c:extLst>
              <c:ext xmlns:c16="http://schemas.microsoft.com/office/drawing/2014/chart" uri="{C3380CC4-5D6E-409C-BE32-E72D297353CC}">
                <c16:uniqueId val="{00000003-DF9F-40B0-B8BE-39FF879490F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DF9F-40B0-B8BE-39FF879490FC}"/>
              </c:ext>
            </c:extLst>
          </c:dPt>
          <c:dPt>
            <c:idx val="3"/>
            <c:bubble3D val="0"/>
            <c:spPr>
              <a:solidFill>
                <a:srgbClr val="FF9953"/>
              </a:solidFill>
              <a:ln w="19050">
                <a:solidFill>
                  <a:schemeClr val="lt1"/>
                </a:solidFill>
              </a:ln>
              <a:effectLst/>
            </c:spPr>
            <c:extLst>
              <c:ext xmlns:c16="http://schemas.microsoft.com/office/drawing/2014/chart" uri="{C3380CC4-5D6E-409C-BE32-E72D297353CC}">
                <c16:uniqueId val="{00000007-DF9F-40B0-B8BE-39FF879490FC}"/>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9-DF9F-40B0-B8BE-39FF879490FC}"/>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DF9F-40B0-B8BE-39FF879490FC}"/>
              </c:ext>
            </c:extLst>
          </c:dPt>
          <c:dPt>
            <c:idx val="6"/>
            <c:bubble3D val="0"/>
            <c:spPr>
              <a:solidFill>
                <a:srgbClr val="CCFF33"/>
              </a:solidFill>
              <a:ln w="19050">
                <a:solidFill>
                  <a:schemeClr val="lt1"/>
                </a:solidFill>
              </a:ln>
              <a:effectLst/>
            </c:spPr>
            <c:extLst>
              <c:ext xmlns:c16="http://schemas.microsoft.com/office/drawing/2014/chart" uri="{C3380CC4-5D6E-409C-BE32-E72D297353CC}">
                <c16:uniqueId val="{0000000D-DF9F-40B0-B8BE-39FF879490FC}"/>
              </c:ext>
            </c:extLst>
          </c:dPt>
          <c:dPt>
            <c:idx val="7"/>
            <c:bubble3D val="0"/>
            <c:spPr>
              <a:solidFill>
                <a:srgbClr val="92D050"/>
              </a:solidFill>
              <a:ln w="19050">
                <a:solidFill>
                  <a:schemeClr val="lt1"/>
                </a:solidFill>
              </a:ln>
              <a:effectLst/>
            </c:spPr>
            <c:extLst>
              <c:ext xmlns:c16="http://schemas.microsoft.com/office/drawing/2014/chart" uri="{C3380CC4-5D6E-409C-BE32-E72D297353CC}">
                <c16:uniqueId val="{0000000F-DF9F-40B0-B8BE-39FF879490F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DF9F-40B0-B8BE-39FF879490FC}"/>
              </c:ext>
            </c:extLst>
          </c:dPt>
          <c:dPt>
            <c:idx val="9"/>
            <c:bubble3D val="0"/>
            <c:spPr>
              <a:solidFill>
                <a:srgbClr val="006600"/>
              </a:solidFill>
              <a:ln w="19050">
                <a:solidFill>
                  <a:schemeClr val="lt1"/>
                </a:solidFill>
              </a:ln>
              <a:effectLst/>
            </c:spPr>
            <c:extLst>
              <c:ext xmlns:c16="http://schemas.microsoft.com/office/drawing/2014/chart" uri="{C3380CC4-5D6E-409C-BE32-E72D297353CC}">
                <c16:uniqueId val="{00000013-DF9F-40B0-B8BE-39FF879490FC}"/>
              </c:ext>
            </c:extLst>
          </c:dPt>
          <c:dPt>
            <c:idx val="10"/>
            <c:bubble3D val="0"/>
            <c:spPr>
              <a:noFill/>
              <a:ln w="19050">
                <a:noFill/>
              </a:ln>
              <a:effectLst/>
            </c:spPr>
            <c:extLst>
              <c:ext xmlns:c16="http://schemas.microsoft.com/office/drawing/2014/chart" uri="{C3380CC4-5D6E-409C-BE32-E72D297353CC}">
                <c16:uniqueId val="{00000015-DF9F-40B0-B8BE-39FF879490FC}"/>
              </c:ext>
            </c:extLst>
          </c:dPt>
          <c:val>
            <c:numLit>
              <c:formatCode>General</c:formatCode>
              <c:ptCount val="11"/>
              <c:pt idx="0">
                <c:v>5</c:v>
              </c:pt>
              <c:pt idx="1">
                <c:v>5</c:v>
              </c:pt>
              <c:pt idx="2">
                <c:v>5</c:v>
              </c:pt>
              <c:pt idx="3">
                <c:v>5</c:v>
              </c:pt>
              <c:pt idx="4">
                <c:v>5</c:v>
              </c:pt>
              <c:pt idx="5">
                <c:v>5</c:v>
              </c:pt>
              <c:pt idx="6">
                <c:v>5</c:v>
              </c:pt>
              <c:pt idx="7">
                <c:v>5</c:v>
              </c:pt>
              <c:pt idx="8">
                <c:v>5</c:v>
              </c:pt>
              <c:pt idx="9">
                <c:v>5</c:v>
              </c:pt>
              <c:pt idx="10">
                <c:v>50</c:v>
              </c:pt>
            </c:numLit>
          </c:val>
          <c:extLst>
            <c:ext xmlns:c16="http://schemas.microsoft.com/office/drawing/2014/chart" uri="{C3380CC4-5D6E-409C-BE32-E72D297353CC}">
              <c16:uniqueId val="{00000016-DF9F-40B0-B8BE-39FF879490FC}"/>
            </c:ext>
          </c:extLst>
        </c:ser>
        <c:dLbls>
          <c:showLegendKey val="0"/>
          <c:showVal val="0"/>
          <c:showCatName val="0"/>
          <c:showSerName val="0"/>
          <c:showPercent val="0"/>
          <c:showBubbleSize val="0"/>
          <c:showLeaderLines val="1"/>
        </c:dLbls>
        <c:firstSliceAng val="270"/>
        <c:holeSize val="50"/>
      </c:doughnutChart>
      <c:pieChart>
        <c:varyColors val="1"/>
        <c:ser>
          <c:idx val="0"/>
          <c:order val="0"/>
          <c:spPr>
            <a:noFill/>
            <a:ln>
              <a:noFill/>
            </a:ln>
          </c:spPr>
          <c:explosion val="3"/>
          <c:dPt>
            <c:idx val="0"/>
            <c:bubble3D val="0"/>
            <c:spPr>
              <a:noFill/>
              <a:ln w="19050">
                <a:noFill/>
              </a:ln>
              <a:effectLst/>
            </c:spPr>
            <c:extLst>
              <c:ext xmlns:c16="http://schemas.microsoft.com/office/drawing/2014/chart" uri="{C3380CC4-5D6E-409C-BE32-E72D297353CC}">
                <c16:uniqueId val="{00000018-DF9F-40B0-B8BE-39FF879490FC}"/>
              </c:ext>
            </c:extLst>
          </c:dPt>
          <c:dPt>
            <c:idx val="1"/>
            <c:bubble3D val="0"/>
            <c:spPr>
              <a:solidFill>
                <a:schemeClr val="tx1"/>
              </a:solidFill>
              <a:ln w="19050">
                <a:solidFill>
                  <a:sysClr val="windowText" lastClr="000000"/>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A-DF9F-40B0-B8BE-39FF879490FC}"/>
              </c:ext>
            </c:extLst>
          </c:dPt>
          <c:dPt>
            <c:idx val="2"/>
            <c:bubble3D val="0"/>
            <c:spPr>
              <a:noFill/>
              <a:ln w="19050">
                <a:noFill/>
              </a:ln>
              <a:effectLst/>
            </c:spPr>
            <c:extLst>
              <c:ext xmlns:c16="http://schemas.microsoft.com/office/drawing/2014/chart" uri="{C3380CC4-5D6E-409C-BE32-E72D297353CC}">
                <c16:uniqueId val="{0000001C-DF9F-40B0-B8BE-39FF879490FC}"/>
              </c:ext>
            </c:extLst>
          </c:dPt>
          <c:cat>
            <c:strRef>
              <c:f>'IV.PPP Suitability'!$BN$1:$BN$3</c:f>
              <c:strCache>
                <c:ptCount val="3"/>
                <c:pt idx="0">
                  <c:v>Value </c:v>
                </c:pt>
                <c:pt idx="1">
                  <c:v>Pointer</c:v>
                </c:pt>
                <c:pt idx="2">
                  <c:v>End</c:v>
                </c:pt>
              </c:strCache>
            </c:strRef>
          </c:cat>
          <c:val>
            <c:numRef>
              <c:f>'IV.PPP Suitability'!$BO$1:$BO$3</c:f>
              <c:numCache>
                <c:formatCode>_ * #,##0.00_ ;_ * \-#,##0.00_ ;_ * "-"??_ ;_ @_ </c:formatCode>
                <c:ptCount val="3"/>
                <c:pt idx="0">
                  <c:v>180</c:v>
                </c:pt>
                <c:pt idx="1">
                  <c:v>1</c:v>
                </c:pt>
                <c:pt idx="2">
                  <c:v>179</c:v>
                </c:pt>
              </c:numCache>
            </c:numRef>
          </c:val>
          <c:extLst>
            <c:ext xmlns:c16="http://schemas.microsoft.com/office/drawing/2014/chart" uri="{C3380CC4-5D6E-409C-BE32-E72D297353CC}">
              <c16:uniqueId val="{0000001D-DF9F-40B0-B8BE-39FF879490F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969623554686806"/>
          <c:y val="2.8349048961472403E-3"/>
          <c:w val="0.64260502138891396"/>
          <c:h val="0.9902827275446775"/>
        </c:manualLayout>
      </c:layout>
      <c:doughnutChart>
        <c:varyColors val="1"/>
        <c:ser>
          <c:idx val="1"/>
          <c:order val="1"/>
          <c:tx>
            <c:v>Donut</c:v>
          </c:tx>
          <c:dPt>
            <c:idx val="0"/>
            <c:bubble3D val="0"/>
            <c:spPr>
              <a:solidFill>
                <a:srgbClr val="CC0000"/>
              </a:solidFill>
              <a:ln w="19050">
                <a:solidFill>
                  <a:schemeClr val="lt1"/>
                </a:solidFill>
              </a:ln>
              <a:effectLst/>
            </c:spPr>
            <c:extLst>
              <c:ext xmlns:c16="http://schemas.microsoft.com/office/drawing/2014/chart" uri="{C3380CC4-5D6E-409C-BE32-E72D297353CC}">
                <c16:uniqueId val="{00000001-DF9F-40B0-B8BE-39FF879490FC}"/>
              </c:ext>
            </c:extLst>
          </c:dPt>
          <c:dPt>
            <c:idx val="1"/>
            <c:bubble3D val="0"/>
            <c:spPr>
              <a:solidFill>
                <a:srgbClr val="FF3300"/>
              </a:solidFill>
              <a:ln w="19050">
                <a:solidFill>
                  <a:schemeClr val="lt1"/>
                </a:solidFill>
              </a:ln>
              <a:effectLst/>
            </c:spPr>
            <c:extLst>
              <c:ext xmlns:c16="http://schemas.microsoft.com/office/drawing/2014/chart" uri="{C3380CC4-5D6E-409C-BE32-E72D297353CC}">
                <c16:uniqueId val="{00000003-DF9F-40B0-B8BE-39FF879490F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DF9F-40B0-B8BE-39FF879490FC}"/>
              </c:ext>
            </c:extLst>
          </c:dPt>
          <c:dPt>
            <c:idx val="3"/>
            <c:bubble3D val="0"/>
            <c:spPr>
              <a:solidFill>
                <a:srgbClr val="FF9953"/>
              </a:solidFill>
              <a:ln w="19050">
                <a:solidFill>
                  <a:schemeClr val="lt1"/>
                </a:solidFill>
              </a:ln>
              <a:effectLst/>
            </c:spPr>
            <c:extLst>
              <c:ext xmlns:c16="http://schemas.microsoft.com/office/drawing/2014/chart" uri="{C3380CC4-5D6E-409C-BE32-E72D297353CC}">
                <c16:uniqueId val="{00000007-DF9F-40B0-B8BE-39FF879490FC}"/>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9-DF9F-40B0-B8BE-39FF879490FC}"/>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DF9F-40B0-B8BE-39FF879490FC}"/>
              </c:ext>
            </c:extLst>
          </c:dPt>
          <c:dPt>
            <c:idx val="6"/>
            <c:bubble3D val="0"/>
            <c:spPr>
              <a:solidFill>
                <a:srgbClr val="CCFF33"/>
              </a:solidFill>
              <a:ln w="19050">
                <a:solidFill>
                  <a:schemeClr val="lt1"/>
                </a:solidFill>
              </a:ln>
              <a:effectLst/>
            </c:spPr>
            <c:extLst>
              <c:ext xmlns:c16="http://schemas.microsoft.com/office/drawing/2014/chart" uri="{C3380CC4-5D6E-409C-BE32-E72D297353CC}">
                <c16:uniqueId val="{0000000D-DF9F-40B0-B8BE-39FF879490FC}"/>
              </c:ext>
            </c:extLst>
          </c:dPt>
          <c:dPt>
            <c:idx val="7"/>
            <c:bubble3D val="0"/>
            <c:spPr>
              <a:solidFill>
                <a:srgbClr val="92D050"/>
              </a:solidFill>
              <a:ln w="19050">
                <a:solidFill>
                  <a:schemeClr val="lt1"/>
                </a:solidFill>
              </a:ln>
              <a:effectLst/>
            </c:spPr>
            <c:extLst>
              <c:ext xmlns:c16="http://schemas.microsoft.com/office/drawing/2014/chart" uri="{C3380CC4-5D6E-409C-BE32-E72D297353CC}">
                <c16:uniqueId val="{0000000F-DF9F-40B0-B8BE-39FF879490F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DF9F-40B0-B8BE-39FF879490FC}"/>
              </c:ext>
            </c:extLst>
          </c:dPt>
          <c:dPt>
            <c:idx val="9"/>
            <c:bubble3D val="0"/>
            <c:spPr>
              <a:solidFill>
                <a:srgbClr val="006600"/>
              </a:solidFill>
              <a:ln w="19050">
                <a:solidFill>
                  <a:schemeClr val="lt1"/>
                </a:solidFill>
              </a:ln>
              <a:effectLst/>
            </c:spPr>
            <c:extLst>
              <c:ext xmlns:c16="http://schemas.microsoft.com/office/drawing/2014/chart" uri="{C3380CC4-5D6E-409C-BE32-E72D297353CC}">
                <c16:uniqueId val="{00000013-DF9F-40B0-B8BE-39FF879490FC}"/>
              </c:ext>
            </c:extLst>
          </c:dPt>
          <c:dPt>
            <c:idx val="10"/>
            <c:bubble3D val="0"/>
            <c:spPr>
              <a:noFill/>
              <a:ln w="19050">
                <a:noFill/>
              </a:ln>
              <a:effectLst/>
            </c:spPr>
            <c:extLst>
              <c:ext xmlns:c16="http://schemas.microsoft.com/office/drawing/2014/chart" uri="{C3380CC4-5D6E-409C-BE32-E72D297353CC}">
                <c16:uniqueId val="{00000015-DF9F-40B0-B8BE-39FF879490FC}"/>
              </c:ext>
            </c:extLst>
          </c:dPt>
          <c:val>
            <c:numLit>
              <c:formatCode>General</c:formatCode>
              <c:ptCount val="11"/>
              <c:pt idx="0">
                <c:v>5</c:v>
              </c:pt>
              <c:pt idx="1">
                <c:v>5</c:v>
              </c:pt>
              <c:pt idx="2">
                <c:v>5</c:v>
              </c:pt>
              <c:pt idx="3">
                <c:v>5</c:v>
              </c:pt>
              <c:pt idx="4">
                <c:v>5</c:v>
              </c:pt>
              <c:pt idx="5">
                <c:v>5</c:v>
              </c:pt>
              <c:pt idx="6">
                <c:v>5</c:v>
              </c:pt>
              <c:pt idx="7">
                <c:v>5</c:v>
              </c:pt>
              <c:pt idx="8">
                <c:v>5</c:v>
              </c:pt>
              <c:pt idx="9">
                <c:v>5</c:v>
              </c:pt>
              <c:pt idx="10">
                <c:v>50</c:v>
              </c:pt>
            </c:numLit>
          </c:val>
          <c:extLst>
            <c:ext xmlns:c16="http://schemas.microsoft.com/office/drawing/2014/chart" uri="{C3380CC4-5D6E-409C-BE32-E72D297353CC}">
              <c16:uniqueId val="{00000016-DF9F-40B0-B8BE-39FF879490FC}"/>
            </c:ext>
          </c:extLst>
        </c:ser>
        <c:dLbls>
          <c:showLegendKey val="0"/>
          <c:showVal val="0"/>
          <c:showCatName val="0"/>
          <c:showSerName val="0"/>
          <c:showPercent val="0"/>
          <c:showBubbleSize val="0"/>
          <c:showLeaderLines val="1"/>
        </c:dLbls>
        <c:firstSliceAng val="270"/>
        <c:holeSize val="50"/>
      </c:doughnutChart>
      <c:pieChart>
        <c:varyColors val="1"/>
        <c:ser>
          <c:idx val="0"/>
          <c:order val="0"/>
          <c:spPr>
            <a:noFill/>
            <a:ln>
              <a:noFill/>
            </a:ln>
          </c:spPr>
          <c:dPt>
            <c:idx val="0"/>
            <c:bubble3D val="0"/>
            <c:spPr>
              <a:noFill/>
              <a:ln w="19050">
                <a:noFill/>
              </a:ln>
              <a:effectLst/>
            </c:spPr>
            <c:extLst>
              <c:ext xmlns:c16="http://schemas.microsoft.com/office/drawing/2014/chart" uri="{C3380CC4-5D6E-409C-BE32-E72D297353CC}">
                <c16:uniqueId val="{00000018-DF9F-40B0-B8BE-39FF879490FC}"/>
              </c:ext>
            </c:extLst>
          </c:dPt>
          <c:dPt>
            <c:idx val="1"/>
            <c:bubble3D val="0"/>
            <c:spPr>
              <a:solidFill>
                <a:schemeClr val="tx1"/>
              </a:solidFill>
              <a:ln w="19050">
                <a:solidFill>
                  <a:sysClr val="windowText" lastClr="000000"/>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A-DF9F-40B0-B8BE-39FF879490FC}"/>
              </c:ext>
            </c:extLst>
          </c:dPt>
          <c:dPt>
            <c:idx val="2"/>
            <c:bubble3D val="0"/>
            <c:spPr>
              <a:noFill/>
              <a:ln w="19050">
                <a:noFill/>
              </a:ln>
              <a:effectLst/>
            </c:spPr>
            <c:extLst>
              <c:ext xmlns:c16="http://schemas.microsoft.com/office/drawing/2014/chart" uri="{C3380CC4-5D6E-409C-BE32-E72D297353CC}">
                <c16:uniqueId val="{0000001C-DF9F-40B0-B8BE-39FF879490FC}"/>
              </c:ext>
            </c:extLst>
          </c:dPt>
          <c:cat>
            <c:strRef>
              <c:f>'V.Fiscal Affordability'!$BS$12:$BS$14</c:f>
              <c:strCache>
                <c:ptCount val="3"/>
                <c:pt idx="0">
                  <c:v>Value </c:v>
                </c:pt>
                <c:pt idx="1">
                  <c:v>Pointer</c:v>
                </c:pt>
                <c:pt idx="2">
                  <c:v>End</c:v>
                </c:pt>
              </c:strCache>
            </c:strRef>
          </c:cat>
          <c:val>
            <c:numRef>
              <c:f>'V.Fiscal Affordability'!$BT$12:$BT$14</c:f>
              <c:numCache>
                <c:formatCode>General</c:formatCode>
                <c:ptCount val="3"/>
                <c:pt idx="0">
                  <c:v>151.05599999999998</c:v>
                </c:pt>
                <c:pt idx="1">
                  <c:v>1</c:v>
                </c:pt>
                <c:pt idx="2">
                  <c:v>207.94400000000002</c:v>
                </c:pt>
              </c:numCache>
            </c:numRef>
          </c:val>
          <c:extLst>
            <c:ext xmlns:c16="http://schemas.microsoft.com/office/drawing/2014/chart" uri="{C3380CC4-5D6E-409C-BE32-E72D297353CC}">
              <c16:uniqueId val="{0000001D-DF9F-40B0-B8BE-39FF879490F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6374379683401"/>
          <c:y val="5.9460212326782308E-2"/>
          <c:w val="0.64260502138891396"/>
          <c:h val="0.9902827275446775"/>
        </c:manualLayout>
      </c:layout>
      <c:doughnutChart>
        <c:varyColors val="1"/>
        <c:ser>
          <c:idx val="1"/>
          <c:order val="1"/>
          <c:tx>
            <c:v>Donut</c:v>
          </c:tx>
          <c:dPt>
            <c:idx val="0"/>
            <c:bubble3D val="0"/>
            <c:spPr>
              <a:solidFill>
                <a:srgbClr val="CC0000"/>
              </a:solidFill>
              <a:ln w="19050">
                <a:solidFill>
                  <a:schemeClr val="lt1"/>
                </a:solidFill>
              </a:ln>
              <a:effectLst/>
            </c:spPr>
            <c:extLst>
              <c:ext xmlns:c16="http://schemas.microsoft.com/office/drawing/2014/chart" uri="{C3380CC4-5D6E-409C-BE32-E72D297353CC}">
                <c16:uniqueId val="{00000001-DF9F-40B0-B8BE-39FF879490FC}"/>
              </c:ext>
            </c:extLst>
          </c:dPt>
          <c:dPt>
            <c:idx val="1"/>
            <c:bubble3D val="0"/>
            <c:spPr>
              <a:solidFill>
                <a:srgbClr val="FF3300"/>
              </a:solidFill>
              <a:ln w="19050">
                <a:solidFill>
                  <a:schemeClr val="lt1"/>
                </a:solidFill>
              </a:ln>
              <a:effectLst/>
            </c:spPr>
            <c:extLst>
              <c:ext xmlns:c16="http://schemas.microsoft.com/office/drawing/2014/chart" uri="{C3380CC4-5D6E-409C-BE32-E72D297353CC}">
                <c16:uniqueId val="{00000003-DF9F-40B0-B8BE-39FF879490F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DF9F-40B0-B8BE-39FF879490FC}"/>
              </c:ext>
            </c:extLst>
          </c:dPt>
          <c:dPt>
            <c:idx val="3"/>
            <c:bubble3D val="0"/>
            <c:spPr>
              <a:solidFill>
                <a:srgbClr val="FF9953"/>
              </a:solidFill>
              <a:ln w="19050">
                <a:solidFill>
                  <a:schemeClr val="lt1"/>
                </a:solidFill>
              </a:ln>
              <a:effectLst/>
            </c:spPr>
            <c:extLst>
              <c:ext xmlns:c16="http://schemas.microsoft.com/office/drawing/2014/chart" uri="{C3380CC4-5D6E-409C-BE32-E72D297353CC}">
                <c16:uniqueId val="{00000007-DF9F-40B0-B8BE-39FF879490FC}"/>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9-DF9F-40B0-B8BE-39FF879490FC}"/>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DF9F-40B0-B8BE-39FF879490FC}"/>
              </c:ext>
            </c:extLst>
          </c:dPt>
          <c:dPt>
            <c:idx val="6"/>
            <c:bubble3D val="0"/>
            <c:spPr>
              <a:solidFill>
                <a:srgbClr val="CCFF33"/>
              </a:solidFill>
              <a:ln w="19050">
                <a:solidFill>
                  <a:schemeClr val="lt1"/>
                </a:solidFill>
              </a:ln>
              <a:effectLst/>
            </c:spPr>
            <c:extLst>
              <c:ext xmlns:c16="http://schemas.microsoft.com/office/drawing/2014/chart" uri="{C3380CC4-5D6E-409C-BE32-E72D297353CC}">
                <c16:uniqueId val="{0000000D-DF9F-40B0-B8BE-39FF879490FC}"/>
              </c:ext>
            </c:extLst>
          </c:dPt>
          <c:dPt>
            <c:idx val="7"/>
            <c:bubble3D val="0"/>
            <c:spPr>
              <a:solidFill>
                <a:srgbClr val="92D050"/>
              </a:solidFill>
              <a:ln w="19050">
                <a:solidFill>
                  <a:schemeClr val="lt1"/>
                </a:solidFill>
              </a:ln>
              <a:effectLst/>
            </c:spPr>
            <c:extLst>
              <c:ext xmlns:c16="http://schemas.microsoft.com/office/drawing/2014/chart" uri="{C3380CC4-5D6E-409C-BE32-E72D297353CC}">
                <c16:uniqueId val="{0000000F-DF9F-40B0-B8BE-39FF879490F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DF9F-40B0-B8BE-39FF879490FC}"/>
              </c:ext>
            </c:extLst>
          </c:dPt>
          <c:dPt>
            <c:idx val="9"/>
            <c:bubble3D val="0"/>
            <c:spPr>
              <a:solidFill>
                <a:srgbClr val="006600"/>
              </a:solidFill>
              <a:ln w="19050">
                <a:solidFill>
                  <a:schemeClr val="lt1"/>
                </a:solidFill>
              </a:ln>
              <a:effectLst/>
            </c:spPr>
            <c:extLst>
              <c:ext xmlns:c16="http://schemas.microsoft.com/office/drawing/2014/chart" uri="{C3380CC4-5D6E-409C-BE32-E72D297353CC}">
                <c16:uniqueId val="{00000013-DF9F-40B0-B8BE-39FF879490FC}"/>
              </c:ext>
            </c:extLst>
          </c:dPt>
          <c:dPt>
            <c:idx val="10"/>
            <c:bubble3D val="0"/>
            <c:spPr>
              <a:noFill/>
              <a:ln w="19050">
                <a:noFill/>
              </a:ln>
              <a:effectLst/>
            </c:spPr>
            <c:extLst>
              <c:ext xmlns:c16="http://schemas.microsoft.com/office/drawing/2014/chart" uri="{C3380CC4-5D6E-409C-BE32-E72D297353CC}">
                <c16:uniqueId val="{00000015-DF9F-40B0-B8BE-39FF879490FC}"/>
              </c:ext>
            </c:extLst>
          </c:dPt>
          <c:val>
            <c:numLit>
              <c:formatCode>General</c:formatCode>
              <c:ptCount val="11"/>
              <c:pt idx="0">
                <c:v>5</c:v>
              </c:pt>
              <c:pt idx="1">
                <c:v>5</c:v>
              </c:pt>
              <c:pt idx="2">
                <c:v>5</c:v>
              </c:pt>
              <c:pt idx="3">
                <c:v>5</c:v>
              </c:pt>
              <c:pt idx="4">
                <c:v>5</c:v>
              </c:pt>
              <c:pt idx="5">
                <c:v>5</c:v>
              </c:pt>
              <c:pt idx="6">
                <c:v>5</c:v>
              </c:pt>
              <c:pt idx="7">
                <c:v>5</c:v>
              </c:pt>
              <c:pt idx="8">
                <c:v>5</c:v>
              </c:pt>
              <c:pt idx="9">
                <c:v>5</c:v>
              </c:pt>
              <c:pt idx="10">
                <c:v>50</c:v>
              </c:pt>
            </c:numLit>
          </c:val>
          <c:extLst>
            <c:ext xmlns:c16="http://schemas.microsoft.com/office/drawing/2014/chart" uri="{C3380CC4-5D6E-409C-BE32-E72D297353CC}">
              <c16:uniqueId val="{00000016-DF9F-40B0-B8BE-39FF879490FC}"/>
            </c:ext>
          </c:extLst>
        </c:ser>
        <c:dLbls>
          <c:showLegendKey val="0"/>
          <c:showVal val="0"/>
          <c:showCatName val="0"/>
          <c:showSerName val="0"/>
          <c:showPercent val="0"/>
          <c:showBubbleSize val="0"/>
          <c:showLeaderLines val="1"/>
        </c:dLbls>
        <c:firstSliceAng val="270"/>
        <c:holeSize val="50"/>
      </c:doughnutChart>
      <c:pieChart>
        <c:varyColors val="1"/>
        <c:ser>
          <c:idx val="0"/>
          <c:order val="0"/>
          <c:spPr>
            <a:noFill/>
            <a:ln>
              <a:noFill/>
            </a:ln>
          </c:spPr>
          <c:dPt>
            <c:idx val="0"/>
            <c:bubble3D val="0"/>
            <c:spPr>
              <a:noFill/>
              <a:ln w="19050">
                <a:noFill/>
              </a:ln>
              <a:effectLst/>
            </c:spPr>
            <c:extLst>
              <c:ext xmlns:c16="http://schemas.microsoft.com/office/drawing/2014/chart" uri="{C3380CC4-5D6E-409C-BE32-E72D297353CC}">
                <c16:uniqueId val="{00000018-DF9F-40B0-B8BE-39FF879490FC}"/>
              </c:ext>
            </c:extLst>
          </c:dPt>
          <c:dPt>
            <c:idx val="1"/>
            <c:bubble3D val="0"/>
            <c:spPr>
              <a:solidFill>
                <a:schemeClr val="tx1"/>
              </a:solidFill>
              <a:ln w="19050">
                <a:solidFill>
                  <a:sysClr val="windowText" lastClr="000000"/>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A-DF9F-40B0-B8BE-39FF879490FC}"/>
              </c:ext>
            </c:extLst>
          </c:dPt>
          <c:dPt>
            <c:idx val="2"/>
            <c:bubble3D val="0"/>
            <c:spPr>
              <a:noFill/>
              <a:ln w="19050">
                <a:noFill/>
              </a:ln>
              <a:effectLst/>
            </c:spPr>
            <c:extLst>
              <c:ext xmlns:c16="http://schemas.microsoft.com/office/drawing/2014/chart" uri="{C3380CC4-5D6E-409C-BE32-E72D297353CC}">
                <c16:uniqueId val="{0000001C-DF9F-40B0-B8BE-39FF879490FC}"/>
              </c:ext>
            </c:extLst>
          </c:dPt>
          <c:cat>
            <c:strRef>
              <c:f>'VI.Institutional Capability'!$BL$1:$BL$3</c:f>
              <c:strCache>
                <c:ptCount val="3"/>
                <c:pt idx="0">
                  <c:v>Value </c:v>
                </c:pt>
                <c:pt idx="1">
                  <c:v>Pointer</c:v>
                </c:pt>
                <c:pt idx="2">
                  <c:v>End</c:v>
                </c:pt>
              </c:strCache>
            </c:strRef>
          </c:cat>
          <c:val>
            <c:numRef>
              <c:f>'VI.Institutional Capability'!$BM$1:$BM$3</c:f>
              <c:numCache>
                <c:formatCode>General</c:formatCode>
                <c:ptCount val="3"/>
                <c:pt idx="0">
                  <c:v>180.00000000000003</c:v>
                </c:pt>
                <c:pt idx="1">
                  <c:v>1</c:v>
                </c:pt>
                <c:pt idx="2">
                  <c:v>178.99999999999997</c:v>
                </c:pt>
              </c:numCache>
            </c:numRef>
          </c:val>
          <c:extLst>
            <c:ext xmlns:c16="http://schemas.microsoft.com/office/drawing/2014/chart" uri="{C3380CC4-5D6E-409C-BE32-E72D297353CC}">
              <c16:uniqueId val="{0000001D-DF9F-40B0-B8BE-39FF879490F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6374379683401"/>
          <c:y val="5.9460212326782308E-2"/>
          <c:w val="0.64260502138891396"/>
          <c:h val="0.9902827275446775"/>
        </c:manualLayout>
      </c:layout>
      <c:pieChart>
        <c:varyColors val="1"/>
        <c:dLbls>
          <c:showLegendKey val="0"/>
          <c:showVal val="0"/>
          <c:showCatName val="0"/>
          <c:showSerName val="0"/>
          <c:showPercent val="0"/>
          <c:showBubbleSize val="0"/>
          <c:showLeaderLines val="0"/>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solidFill>
            <a:srgbClr val="FF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7417684681735"/>
          <c:y val="9.7172411823696087E-3"/>
          <c:w val="0.64260502138891396"/>
          <c:h val="0.9902827275446775"/>
        </c:manualLayout>
      </c:layout>
      <c:doughnutChart>
        <c:varyColors val="1"/>
        <c:ser>
          <c:idx val="1"/>
          <c:order val="1"/>
          <c:tx>
            <c:v>Donut</c:v>
          </c:tx>
          <c:dPt>
            <c:idx val="0"/>
            <c:bubble3D val="0"/>
            <c:spPr>
              <a:solidFill>
                <a:srgbClr val="CC0000"/>
              </a:solidFill>
              <a:ln w="19050">
                <a:solidFill>
                  <a:schemeClr val="lt1"/>
                </a:solidFill>
              </a:ln>
              <a:effectLst/>
            </c:spPr>
            <c:extLst>
              <c:ext xmlns:c16="http://schemas.microsoft.com/office/drawing/2014/chart" uri="{C3380CC4-5D6E-409C-BE32-E72D297353CC}">
                <c16:uniqueId val="{00000001-DF9F-40B0-B8BE-39FF879490FC}"/>
              </c:ext>
            </c:extLst>
          </c:dPt>
          <c:dPt>
            <c:idx val="1"/>
            <c:bubble3D val="0"/>
            <c:spPr>
              <a:solidFill>
                <a:srgbClr val="FF3300"/>
              </a:solidFill>
              <a:ln w="19050">
                <a:solidFill>
                  <a:schemeClr val="lt1"/>
                </a:solidFill>
              </a:ln>
              <a:effectLst/>
            </c:spPr>
            <c:extLst>
              <c:ext xmlns:c16="http://schemas.microsoft.com/office/drawing/2014/chart" uri="{C3380CC4-5D6E-409C-BE32-E72D297353CC}">
                <c16:uniqueId val="{00000003-DF9F-40B0-B8BE-39FF879490FC}"/>
              </c:ext>
            </c:extLst>
          </c:dPt>
          <c:dPt>
            <c:idx val="2"/>
            <c:bubble3D val="0"/>
            <c:spPr>
              <a:solidFill>
                <a:srgbClr val="FF6600"/>
              </a:solidFill>
              <a:ln w="19050">
                <a:solidFill>
                  <a:schemeClr val="lt1"/>
                </a:solidFill>
              </a:ln>
              <a:effectLst/>
            </c:spPr>
            <c:extLst>
              <c:ext xmlns:c16="http://schemas.microsoft.com/office/drawing/2014/chart" uri="{C3380CC4-5D6E-409C-BE32-E72D297353CC}">
                <c16:uniqueId val="{00000005-DF9F-40B0-B8BE-39FF879490FC}"/>
              </c:ext>
            </c:extLst>
          </c:dPt>
          <c:dPt>
            <c:idx val="3"/>
            <c:bubble3D val="0"/>
            <c:spPr>
              <a:solidFill>
                <a:srgbClr val="FF9953"/>
              </a:solidFill>
              <a:ln w="19050">
                <a:solidFill>
                  <a:schemeClr val="lt1"/>
                </a:solidFill>
              </a:ln>
              <a:effectLst/>
            </c:spPr>
            <c:extLst>
              <c:ext xmlns:c16="http://schemas.microsoft.com/office/drawing/2014/chart" uri="{C3380CC4-5D6E-409C-BE32-E72D297353CC}">
                <c16:uniqueId val="{00000007-DF9F-40B0-B8BE-39FF879490FC}"/>
              </c:ext>
            </c:extLst>
          </c:dPt>
          <c:dPt>
            <c:idx val="4"/>
            <c:bubble3D val="0"/>
            <c:spPr>
              <a:solidFill>
                <a:srgbClr val="FFC000"/>
              </a:solidFill>
              <a:ln w="19050">
                <a:solidFill>
                  <a:schemeClr val="lt1"/>
                </a:solidFill>
              </a:ln>
              <a:effectLst/>
            </c:spPr>
            <c:extLst>
              <c:ext xmlns:c16="http://schemas.microsoft.com/office/drawing/2014/chart" uri="{C3380CC4-5D6E-409C-BE32-E72D297353CC}">
                <c16:uniqueId val="{00000009-DF9F-40B0-B8BE-39FF879490FC}"/>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DF9F-40B0-B8BE-39FF879490FC}"/>
              </c:ext>
            </c:extLst>
          </c:dPt>
          <c:dPt>
            <c:idx val="6"/>
            <c:bubble3D val="0"/>
            <c:spPr>
              <a:solidFill>
                <a:srgbClr val="CCFF33"/>
              </a:solidFill>
              <a:ln w="19050">
                <a:solidFill>
                  <a:schemeClr val="lt1"/>
                </a:solidFill>
              </a:ln>
              <a:effectLst/>
            </c:spPr>
            <c:extLst>
              <c:ext xmlns:c16="http://schemas.microsoft.com/office/drawing/2014/chart" uri="{C3380CC4-5D6E-409C-BE32-E72D297353CC}">
                <c16:uniqueId val="{0000000D-DF9F-40B0-B8BE-39FF879490FC}"/>
              </c:ext>
            </c:extLst>
          </c:dPt>
          <c:dPt>
            <c:idx val="7"/>
            <c:bubble3D val="0"/>
            <c:spPr>
              <a:solidFill>
                <a:srgbClr val="92D050"/>
              </a:solidFill>
              <a:ln w="19050">
                <a:solidFill>
                  <a:schemeClr val="lt1"/>
                </a:solidFill>
              </a:ln>
              <a:effectLst/>
            </c:spPr>
            <c:extLst>
              <c:ext xmlns:c16="http://schemas.microsoft.com/office/drawing/2014/chart" uri="{C3380CC4-5D6E-409C-BE32-E72D297353CC}">
                <c16:uniqueId val="{0000000F-DF9F-40B0-B8BE-39FF879490FC}"/>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DF9F-40B0-B8BE-39FF879490FC}"/>
              </c:ext>
            </c:extLst>
          </c:dPt>
          <c:dPt>
            <c:idx val="9"/>
            <c:bubble3D val="0"/>
            <c:spPr>
              <a:solidFill>
                <a:srgbClr val="006600"/>
              </a:solidFill>
              <a:ln w="19050">
                <a:solidFill>
                  <a:schemeClr val="lt1"/>
                </a:solidFill>
              </a:ln>
              <a:effectLst/>
            </c:spPr>
            <c:extLst>
              <c:ext xmlns:c16="http://schemas.microsoft.com/office/drawing/2014/chart" uri="{C3380CC4-5D6E-409C-BE32-E72D297353CC}">
                <c16:uniqueId val="{00000013-DF9F-40B0-B8BE-39FF879490FC}"/>
              </c:ext>
            </c:extLst>
          </c:dPt>
          <c:dPt>
            <c:idx val="10"/>
            <c:bubble3D val="0"/>
            <c:spPr>
              <a:noFill/>
              <a:ln w="19050">
                <a:noFill/>
              </a:ln>
              <a:effectLst/>
            </c:spPr>
            <c:extLst>
              <c:ext xmlns:c16="http://schemas.microsoft.com/office/drawing/2014/chart" uri="{C3380CC4-5D6E-409C-BE32-E72D297353CC}">
                <c16:uniqueId val="{00000015-DF9F-40B0-B8BE-39FF879490FC}"/>
              </c:ext>
            </c:extLst>
          </c:dPt>
          <c:val>
            <c:numLit>
              <c:formatCode>General</c:formatCode>
              <c:ptCount val="11"/>
              <c:pt idx="0">
                <c:v>5</c:v>
              </c:pt>
              <c:pt idx="1">
                <c:v>5</c:v>
              </c:pt>
              <c:pt idx="2">
                <c:v>5</c:v>
              </c:pt>
              <c:pt idx="3">
                <c:v>5</c:v>
              </c:pt>
              <c:pt idx="4">
                <c:v>5</c:v>
              </c:pt>
              <c:pt idx="5">
                <c:v>5</c:v>
              </c:pt>
              <c:pt idx="6">
                <c:v>5</c:v>
              </c:pt>
              <c:pt idx="7">
                <c:v>5</c:v>
              </c:pt>
              <c:pt idx="8">
                <c:v>5</c:v>
              </c:pt>
              <c:pt idx="9">
                <c:v>5</c:v>
              </c:pt>
              <c:pt idx="10">
                <c:v>50</c:v>
              </c:pt>
            </c:numLit>
          </c:val>
          <c:extLst>
            <c:ext xmlns:c16="http://schemas.microsoft.com/office/drawing/2014/chart" uri="{C3380CC4-5D6E-409C-BE32-E72D297353CC}">
              <c16:uniqueId val="{00000016-DF9F-40B0-B8BE-39FF879490FC}"/>
            </c:ext>
          </c:extLst>
        </c:ser>
        <c:dLbls>
          <c:showLegendKey val="0"/>
          <c:showVal val="0"/>
          <c:showCatName val="0"/>
          <c:showSerName val="0"/>
          <c:showPercent val="0"/>
          <c:showBubbleSize val="0"/>
          <c:showLeaderLines val="1"/>
        </c:dLbls>
        <c:firstSliceAng val="270"/>
        <c:holeSize val="50"/>
      </c:doughnutChart>
      <c:pieChart>
        <c:varyColors val="1"/>
        <c:ser>
          <c:idx val="0"/>
          <c:order val="0"/>
          <c:spPr>
            <a:noFill/>
            <a:ln>
              <a:noFill/>
            </a:ln>
          </c:spPr>
          <c:dPt>
            <c:idx val="0"/>
            <c:bubble3D val="0"/>
            <c:spPr>
              <a:noFill/>
              <a:ln w="19050">
                <a:noFill/>
              </a:ln>
              <a:effectLst/>
            </c:spPr>
            <c:extLst>
              <c:ext xmlns:c16="http://schemas.microsoft.com/office/drawing/2014/chart" uri="{C3380CC4-5D6E-409C-BE32-E72D297353CC}">
                <c16:uniqueId val="{00000018-DF9F-40B0-B8BE-39FF879490FC}"/>
              </c:ext>
            </c:extLst>
          </c:dPt>
          <c:dPt>
            <c:idx val="1"/>
            <c:bubble3D val="0"/>
            <c:spPr>
              <a:solidFill>
                <a:schemeClr val="tx1"/>
              </a:solidFill>
              <a:ln w="19050">
                <a:solidFill>
                  <a:sysClr val="windowText" lastClr="000000"/>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A-DF9F-40B0-B8BE-39FF879490FC}"/>
              </c:ext>
            </c:extLst>
          </c:dPt>
          <c:dPt>
            <c:idx val="2"/>
            <c:bubble3D val="0"/>
            <c:explosion val="8"/>
            <c:spPr>
              <a:noFill/>
              <a:ln w="19050">
                <a:noFill/>
              </a:ln>
              <a:effectLst/>
            </c:spPr>
            <c:extLst>
              <c:ext xmlns:c16="http://schemas.microsoft.com/office/drawing/2014/chart" uri="{C3380CC4-5D6E-409C-BE32-E72D297353CC}">
                <c16:uniqueId val="{0000001C-DF9F-40B0-B8BE-39FF879490FC}"/>
              </c:ext>
            </c:extLst>
          </c:dPt>
          <c:cat>
            <c:strRef>
              <c:f>Dashboard!$BP$12:$BP$14</c:f>
              <c:strCache>
                <c:ptCount val="3"/>
                <c:pt idx="0">
                  <c:v>Value </c:v>
                </c:pt>
                <c:pt idx="1">
                  <c:v>Pointer</c:v>
                </c:pt>
                <c:pt idx="2">
                  <c:v>End</c:v>
                </c:pt>
              </c:strCache>
            </c:strRef>
          </c:cat>
          <c:val>
            <c:numRef>
              <c:f>Dashboard!$BQ$12:$BQ$14</c:f>
              <c:numCache>
                <c:formatCode>General</c:formatCode>
                <c:ptCount val="3"/>
                <c:pt idx="0">
                  <c:v>174.21120000000002</c:v>
                </c:pt>
                <c:pt idx="1">
                  <c:v>1</c:v>
                </c:pt>
                <c:pt idx="2">
                  <c:v>184.78879999999998</c:v>
                </c:pt>
              </c:numCache>
            </c:numRef>
          </c:val>
          <c:extLst>
            <c:ext xmlns:c16="http://schemas.microsoft.com/office/drawing/2014/chart" uri="{C3380CC4-5D6E-409C-BE32-E72D297353CC}">
              <c16:uniqueId val="{0000001D-DF9F-40B0-B8BE-39FF879490F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65955203218928E-2"/>
          <c:y val="0.14024957973975752"/>
          <c:w val="0.5531485222778052"/>
          <c:h val="0.83275342946812958"/>
        </c:manualLayout>
      </c:layout>
      <c:pieChart>
        <c:varyColors val="1"/>
        <c:ser>
          <c:idx val="0"/>
          <c:order val="0"/>
          <c:tx>
            <c:strRef>
              <c:f>'Data Analysis'!$AE$196</c:f>
              <c:strCache>
                <c:ptCount val="1"/>
                <c:pt idx="0">
                  <c:v>Count</c:v>
                </c:pt>
              </c:strCache>
            </c:strRef>
          </c:tx>
          <c:dPt>
            <c:idx val="0"/>
            <c:bubble3D val="0"/>
            <c:spPr>
              <a:solidFill>
                <a:srgbClr val="92D05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121-4369-862D-24CA4FCB67F8}"/>
              </c:ext>
            </c:extLst>
          </c:dPt>
          <c:dPt>
            <c:idx val="1"/>
            <c:bubble3D val="0"/>
            <c:spPr>
              <a:solidFill>
                <a:srgbClr val="C00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121-4369-862D-24CA4FCB67F8}"/>
              </c:ext>
            </c:extLst>
          </c:dPt>
          <c:dPt>
            <c:idx val="2"/>
            <c:bubble3D val="0"/>
            <c:spPr>
              <a:solidFill>
                <a:schemeClr val="accent1">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121-4369-862D-24CA4FCB67F8}"/>
              </c:ext>
            </c:extLst>
          </c:dPt>
          <c:dPt>
            <c:idx val="3"/>
            <c:bubble3D val="0"/>
            <c:spPr>
              <a:solidFill>
                <a:srgbClr val="FFFF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121-4369-862D-24CA4FCB67F8}"/>
              </c:ext>
            </c:extLst>
          </c:dPt>
          <c:dPt>
            <c:idx val="4"/>
            <c:bubble3D val="0"/>
            <c:spPr>
              <a:solidFill>
                <a:schemeClr val="bg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121-4369-862D-24CA4FCB67F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 Analysis'!$AD$197:$AD$201</c:f>
              <c:strCache>
                <c:ptCount val="5"/>
                <c:pt idx="0">
                  <c:v>Yes</c:v>
                </c:pt>
                <c:pt idx="1">
                  <c:v>No</c:v>
                </c:pt>
                <c:pt idx="2">
                  <c:v>Skip</c:v>
                </c:pt>
                <c:pt idx="3">
                  <c:v>N/A</c:v>
                </c:pt>
                <c:pt idx="4">
                  <c:v>Uncertain</c:v>
                </c:pt>
              </c:strCache>
            </c:strRef>
          </c:cat>
          <c:val>
            <c:numRef>
              <c:f>'Data Analysis'!$AE$197:$AE$201</c:f>
              <c:numCache>
                <c:formatCode>General</c:formatCode>
                <c:ptCount val="5"/>
                <c:pt idx="0">
                  <c:v>121</c:v>
                </c:pt>
                <c:pt idx="1">
                  <c:v>0</c:v>
                </c:pt>
                <c:pt idx="2">
                  <c:v>0</c:v>
                </c:pt>
                <c:pt idx="3">
                  <c:v>4</c:v>
                </c:pt>
                <c:pt idx="4">
                  <c:v>0</c:v>
                </c:pt>
              </c:numCache>
            </c:numRef>
          </c:val>
          <c:extLst>
            <c:ext xmlns:c16="http://schemas.microsoft.com/office/drawing/2014/chart" uri="{C3380CC4-5D6E-409C-BE32-E72D297353CC}">
              <c16:uniqueId val="{0000000A-C121-4369-862D-24CA4FCB67F8}"/>
            </c:ext>
          </c:extLst>
        </c:ser>
        <c:dLbls>
          <c:dLblPos val="bestFit"/>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178816048762826"/>
          <c:y val="0.22084941461170676"/>
          <c:w val="0.28669284716601645"/>
          <c:h val="0.714748519842150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Response Statistics</a:t>
            </a:r>
          </a:p>
        </c:rich>
      </c:tx>
      <c:layout>
        <c:manualLayout>
          <c:xMode val="edge"/>
          <c:yMode val="edge"/>
          <c:x val="0.46822362130188205"/>
          <c:y val="3.239638895053555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8.3665955203218928E-2"/>
          <c:y val="0.14024957973975752"/>
          <c:w val="0.5531485222778052"/>
          <c:h val="0.83275342946812958"/>
        </c:manualLayout>
      </c:layout>
      <c:pieChart>
        <c:varyColors val="1"/>
        <c:ser>
          <c:idx val="0"/>
          <c:order val="0"/>
          <c:tx>
            <c:strRef>
              <c:f>'Data Analysis'!$AE$196</c:f>
              <c:strCache>
                <c:ptCount val="1"/>
                <c:pt idx="0">
                  <c:v>Count</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2B6-448F-BF6E-B2BECCD33A6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2B6-448F-BF6E-B2BECCD33A6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2B6-448F-BF6E-B2BECCD33A6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2B6-448F-BF6E-B2BECCD33A6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72B6-448F-BF6E-B2BECCD33A6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'Data Analysis'!$AD$197:$AD$201</c:f>
              <c:strCache>
                <c:ptCount val="5"/>
                <c:pt idx="0">
                  <c:v>Yes</c:v>
                </c:pt>
                <c:pt idx="1">
                  <c:v>No</c:v>
                </c:pt>
                <c:pt idx="2">
                  <c:v>Skip</c:v>
                </c:pt>
                <c:pt idx="3">
                  <c:v>N/A</c:v>
                </c:pt>
                <c:pt idx="4">
                  <c:v>Uncertain</c:v>
                </c:pt>
              </c:strCache>
            </c:strRef>
          </c:cat>
          <c:val>
            <c:numRef>
              <c:f>'Data Analysis'!$AE$197:$AE$201</c:f>
              <c:numCache>
                <c:formatCode>General</c:formatCode>
                <c:ptCount val="5"/>
                <c:pt idx="0">
                  <c:v>121</c:v>
                </c:pt>
                <c:pt idx="1">
                  <c:v>0</c:v>
                </c:pt>
                <c:pt idx="2">
                  <c:v>0</c:v>
                </c:pt>
                <c:pt idx="3">
                  <c:v>4</c:v>
                </c:pt>
                <c:pt idx="4">
                  <c:v>0</c:v>
                </c:pt>
              </c:numCache>
            </c:numRef>
          </c:val>
          <c:extLst>
            <c:ext xmlns:c16="http://schemas.microsoft.com/office/drawing/2014/chart" uri="{C3380CC4-5D6E-409C-BE32-E72D297353CC}">
              <c16:uniqueId val="{0000000A-72B6-448F-BF6E-B2BECCD33A6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178816048762826"/>
          <c:y val="0.22084941461170676"/>
          <c:w val="0.28669284716601645"/>
          <c:h val="0.714748519842150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checked="Checked" fmlaLink="'Data Analysis'!$M$214" lockText="1" noThreeD="1"/>
</file>

<file path=xl/ctrlProps/ctrlProp2.xml><?xml version="1.0" encoding="utf-8"?>
<formControlPr xmlns="http://schemas.microsoft.com/office/spreadsheetml/2009/9/main" objectType="CheckBox" checked="Checked" fmlaLink="'Data Analysis'!$M$219" lockText="1" noThreeD="1"/>
</file>

<file path=xl/ctrlProps/ctrlProp3.xml><?xml version="1.0" encoding="utf-8"?>
<formControlPr xmlns="http://schemas.microsoft.com/office/spreadsheetml/2009/9/main" objectType="CheckBox" checked="Checked" fmlaLink="'Data Analysis'!$M$226" lockText="1" noThreeD="1"/>
</file>

<file path=xl/ctrlProps/ctrlProp4.xml><?xml version="1.0" encoding="utf-8"?>
<formControlPr xmlns="http://schemas.microsoft.com/office/spreadsheetml/2009/9/main" objectType="CheckBox" checked="Checked" fmlaLink="'Data Analysis'!$M$239" lockText="1" noThreeD="1"/>
</file>

<file path=xl/ctrlProps/ctrlProp5.xml><?xml version="1.0" encoding="utf-8"?>
<formControlPr xmlns="http://schemas.microsoft.com/office/spreadsheetml/2009/9/main" objectType="CheckBox" checked="Checked" fmlaLink="'Data Analysis'!$M$242" lockText="1" noThreeD="1"/>
</file>

<file path=xl/ctrlProps/ctrlProp6.xml><?xml version="1.0" encoding="utf-8"?>
<formControlPr xmlns="http://schemas.microsoft.com/office/spreadsheetml/2009/9/main" objectType="Scroll" dx="22" fmlaLink="Admin!$G$5" horiz="1" max="80" min="5" page="0" val="5"/>
</file>

<file path=xl/ctrlProps/ctrlProp7.xml><?xml version="1.0" encoding="utf-8"?>
<formControlPr xmlns="http://schemas.microsoft.com/office/spreadsheetml/2009/9/main" objectType="Scroll" dx="22" fmlaLink="Admin!$G$6" horiz="1" max="80" min="5" page="0" val="5"/>
</file>

<file path=xl/ctrlProps/ctrlProp8.xml><?xml version="1.0" encoding="utf-8"?>
<formControlPr xmlns="http://schemas.microsoft.com/office/spreadsheetml/2009/9/main" objectType="Scroll" dx="22" fmlaLink="G7" horiz="1" max="80" min="5" page="0" val="5"/>
</file>

<file path=xl/ctrlProps/ctrlProp9.xml><?xml version="1.0" encoding="utf-8"?>
<formControlPr xmlns="http://schemas.microsoft.com/office/spreadsheetml/2009/9/main" objectType="Scroll" dx="22" fmlaLink="G8" horiz="1" max="80" min="5" page="0" val="5"/>
</file>

<file path=xl/ctrlProps/ctrlProp10.xml><?xml version="1.0" encoding="utf-8"?>
<formControlPr xmlns="http://schemas.microsoft.com/office/spreadsheetml/2009/9/main" objectType="Scroll" dx="22" fmlaLink="Admin!$G$10" horiz="1" max="80" min="5" page="0" val="5"/>
</file>

<file path=xl/ctrlProps/ctrlProp11.xml><?xml version="1.0" encoding="utf-8"?>
<formControlPr xmlns="http://schemas.microsoft.com/office/spreadsheetml/2009/9/main" objectType="Scroll" dx="22" fmlaLink="G11" horiz="1" max="80" min="5" page="0" val="5"/>
</file>

<file path=xl/ctrlProps/ctrlProp12.xml><?xml version="1.0" encoding="utf-8"?>
<formControlPr xmlns="http://schemas.microsoft.com/office/spreadsheetml/2009/9/main" objectType="Scroll" dx="22" fmlaLink="G12" horiz="1" max="80" min="5" page="0" val="5"/>
</file>

<file path=xl/ctrlProps/ctrlProp13.xml><?xml version="1.0" encoding="utf-8"?>
<formControlPr xmlns="http://schemas.microsoft.com/office/spreadsheetml/2009/9/main" objectType="Scroll" dx="22" fmlaLink="G13" horiz="1" max="80" min="5" page="0" val="5"/>
</file>

<file path=xl/ctrlProps/ctrlProp14.xml><?xml version="1.0" encoding="utf-8"?>
<formControlPr xmlns="http://schemas.microsoft.com/office/spreadsheetml/2009/9/main" objectType="Scroll" dx="22" fmlaLink="G14" horiz="1" max="80" min="5" page="0" val="5"/>
</file>

<file path=xl/ctrlProps/ctrlProp15.xml><?xml version="1.0" encoding="utf-8"?>
<formControlPr xmlns="http://schemas.microsoft.com/office/spreadsheetml/2009/9/main" objectType="Scroll" dx="22" fmlaLink="G15" horiz="1" max="80" min="5" page="0" val="80"/>
</file>

<file path=xl/ctrlProps/ctrlProp16.xml><?xml version="1.0" encoding="utf-8"?>
<formControlPr xmlns="http://schemas.microsoft.com/office/spreadsheetml/2009/9/main" objectType="Scroll" dx="22" fmlaLink="G17" horiz="1" max="80" min="5" page="0" val="5"/>
</file>

<file path=xl/ctrlProps/ctrlProp17.xml><?xml version="1.0" encoding="utf-8"?>
<formControlPr xmlns="http://schemas.microsoft.com/office/spreadsheetml/2009/9/main" objectType="Scroll" dx="22" fmlaLink="G26" horiz="1" max="80" min="5" page="0" val="5"/>
</file>

<file path=xl/ctrlProps/ctrlProp18.xml><?xml version="1.0" encoding="utf-8"?>
<formControlPr xmlns="http://schemas.microsoft.com/office/spreadsheetml/2009/9/main" objectType="Scroll" dx="22" fmlaLink="G27" horiz="1" max="80" min="5" page="0" val="29"/>
</file>

<file path=xl/ctrlProps/ctrlProp19.xml><?xml version="1.0" encoding="utf-8"?>
<formControlPr xmlns="http://schemas.microsoft.com/office/spreadsheetml/2009/9/main" objectType="Scroll" dx="22" fmlaLink="G29" horiz="1" max="80" min="5" page="0" val="5"/>
</file>

<file path=xl/ctrlProps/ctrlProp20.xml><?xml version="1.0" encoding="utf-8"?>
<formControlPr xmlns="http://schemas.microsoft.com/office/spreadsheetml/2009/9/main" objectType="Scroll" dx="22" fmlaLink="G30" horiz="1" max="80" min="5" page="0" val="41"/>
</file>

<file path=xl/ctrlProps/ctrlProp21.xml><?xml version="1.0" encoding="utf-8"?>
<formControlPr xmlns="http://schemas.microsoft.com/office/spreadsheetml/2009/9/main" objectType="Scroll" dx="22" fmlaLink="G32" horiz="1" max="80" min="5" page="0" val="36"/>
</file>

<file path=xl/ctrlProps/ctrlProp22.xml><?xml version="1.0" encoding="utf-8"?>
<formControlPr xmlns="http://schemas.microsoft.com/office/spreadsheetml/2009/9/main" objectType="Scroll" dx="22" fmlaLink="G33" horiz="1" max="80" min="5" page="0" val="5"/>
</file>

<file path=xl/ctrlProps/ctrlProp23.xml><?xml version="1.0" encoding="utf-8"?>
<formControlPr xmlns="http://schemas.microsoft.com/office/spreadsheetml/2009/9/main" objectType="Scroll" dx="22" fmlaLink="G34" horiz="1" max="80" min="5" page="0" val="6"/>
</file>

<file path=xl/ctrlProps/ctrlProp24.xml><?xml version="1.0" encoding="utf-8"?>
<formControlPr xmlns="http://schemas.microsoft.com/office/spreadsheetml/2009/9/main" objectType="CheckBox" checked="Checked" fmlaLink="'Data Analysis'!$M$235" lockText="1" noThreeD="1"/>
</file>

<file path=xl/ctrlProps/ctrlProp25.xml><?xml version="1.0" encoding="utf-8"?>
<formControlPr xmlns="http://schemas.microsoft.com/office/spreadsheetml/2009/9/main" objectType="Scroll" dx="22" fmlaLink="G18" horiz="1" max="80" min="5" page="0" val="5"/>
</file>

<file path=xl/ctrlProps/ctrlProp26.xml><?xml version="1.0" encoding="utf-8"?>
<formControlPr xmlns="http://schemas.microsoft.com/office/spreadsheetml/2009/9/main" objectType="Scroll" dx="22" fmlaLink="G19" horiz="1" max="80" min="5" page="0" val="5"/>
</file>

<file path=xl/ctrlProps/ctrlProp27.xml><?xml version="1.0" encoding="utf-8"?>
<formControlPr xmlns="http://schemas.microsoft.com/office/spreadsheetml/2009/9/main" objectType="Scroll" dx="22" fmlaLink="G20" horiz="1" max="80" min="5" page="0" val="5"/>
</file>

<file path=xl/ctrlProps/ctrlProp28.xml><?xml version="1.0" encoding="utf-8"?>
<formControlPr xmlns="http://schemas.microsoft.com/office/spreadsheetml/2009/9/main" objectType="Scroll" dx="22" fmlaLink="G21" horiz="1" max="80" min="5" page="0" val="5"/>
</file>

<file path=xl/ctrlProps/ctrlProp29.xml><?xml version="1.0" encoding="utf-8"?>
<formControlPr xmlns="http://schemas.microsoft.com/office/spreadsheetml/2009/9/main" objectType="Scroll" dx="22" fmlaLink="G23" horiz="1" max="80" min="5" page="0" val="10"/>
</file>

<file path=xl/ctrlProps/ctrlProp30.xml><?xml version="1.0" encoding="utf-8"?>
<formControlPr xmlns="http://schemas.microsoft.com/office/spreadsheetml/2009/9/main" objectType="Scroll" dx="22" fmlaLink="G22" horiz="1" max="80" min="5" page="0" val="30"/>
</file>

<file path=xl/ctrlProps/ctrlProp31.xml><?xml version="1.0" encoding="utf-8"?>
<formControlPr xmlns="http://schemas.microsoft.com/office/spreadsheetml/2009/9/main" objectType="CheckBox" checked="Checked" fmlaLink="'Data Analysis'!$E$213" lockText="1" noThreeD="1"/>
</file>

<file path=xl/ctrlProps/ctrlProp32.xml><?xml version="1.0" encoding="utf-8"?>
<formControlPr xmlns="http://schemas.microsoft.com/office/spreadsheetml/2009/9/main" objectType="Scroll" dx="22" fmlaLink="'Data Analysis'!$F$214" horiz="1" max="100" page="0" val="64"/>
</file>

<file path=xl/ctrlProps/ctrlProp33.xml><?xml version="1.0" encoding="utf-8"?>
<formControlPr xmlns="http://schemas.microsoft.com/office/spreadsheetml/2009/9/main" objectType="Scroll" dx="22" fmlaLink="'Data Analysis'!$F$219" horiz="1" max="100" page="0" val="0"/>
</file>

<file path=xl/ctrlProps/ctrlProp34.xml><?xml version="1.0" encoding="utf-8"?>
<formControlPr xmlns="http://schemas.microsoft.com/office/spreadsheetml/2009/9/main" objectType="Scroll" dx="22" fmlaLink="'Data Analysis'!$F$226" horiz="1" max="100" page="0" val="0"/>
</file>

<file path=xl/ctrlProps/ctrlProp35.xml><?xml version="1.0" encoding="utf-8"?>
<formControlPr xmlns="http://schemas.microsoft.com/office/spreadsheetml/2009/9/main" objectType="Scroll" dx="22" fmlaLink="'Data Analysis'!$F$239" horiz="1" max="100" page="0" val="0"/>
</file>

<file path=xl/ctrlProps/ctrlProp36.xml><?xml version="1.0" encoding="utf-8"?>
<formControlPr xmlns="http://schemas.microsoft.com/office/spreadsheetml/2009/9/main" objectType="Scroll" dx="22" fmlaLink="'Data Analysis'!$F$242" horiz="1" max="100" page="0" val="100"/>
</file>

<file path=xl/ctrlProps/ctrlProp37.xml><?xml version="1.0" encoding="utf-8"?>
<formControlPr xmlns="http://schemas.microsoft.com/office/spreadsheetml/2009/9/main" objectType="Scroll" dx="22" fmlaLink="'Data Analysis'!$F$235" horiz="1" max="100" page="0" val="0"/>
</file>

<file path=xl/ctrlProps/ctrlProp38.xml><?xml version="1.0" encoding="utf-8"?>
<formControlPr xmlns="http://schemas.microsoft.com/office/spreadsheetml/2009/9/main" objectType="CheckBox" checked="Checked" fmlaLink="'Data Analysis'!$D$249" lockText="1" noThreeD="1"/>
</file>

<file path=xl/ctrlProps/ctrlProp39.xml><?xml version="1.0" encoding="utf-8"?>
<formControlPr xmlns="http://schemas.microsoft.com/office/spreadsheetml/2009/9/main" objectType="CheckBox" checked="Checked" fmlaLink="'Data Analysis'!D250" lockText="1" noThreeD="1"/>
</file>

<file path=xl/ctrlProps/ctrlProp40.xml><?xml version="1.0" encoding="utf-8"?>
<formControlPr xmlns="http://schemas.microsoft.com/office/spreadsheetml/2009/9/main" objectType="CheckBox" checked="Checked" fmlaLink="'Data Analysis'!D251" lockText="1" noThreeD="1"/>
</file>

<file path=xl/ctrlProps/ctrlProp41.xml><?xml version="1.0" encoding="utf-8"?>
<formControlPr xmlns="http://schemas.microsoft.com/office/spreadsheetml/2009/9/main" objectType="CheckBox" checked="Checked" fmlaLink="'Data Analysis'!$D$253" lockText="1" noThreeD="1"/>
</file>

<file path=xl/ctrlProps/ctrlProp42.xml><?xml version="1.0" encoding="utf-8"?>
<formControlPr xmlns="http://schemas.microsoft.com/office/spreadsheetml/2009/9/main" objectType="CheckBox" checked="Checked" fmlaLink="'Data Analysis'!$D$254" lockText="1" noThreeD="1"/>
</file>

<file path=xl/ctrlProps/ctrlProp43.xml><?xml version="1.0" encoding="utf-8"?>
<formControlPr xmlns="http://schemas.microsoft.com/office/spreadsheetml/2009/9/main" objectType="CheckBox" checked="Checked" fmlaLink="'Data Analysis'!D255" lockText="1" noThreeD="1"/>
</file>

<file path=xl/ctrlProps/ctrlProp44.xml><?xml version="1.0" encoding="utf-8"?>
<formControlPr xmlns="http://schemas.microsoft.com/office/spreadsheetml/2009/9/main" objectType="CheckBox" checked="Checked" fmlaLink="'Data Analysis'!D256" lockText="1" noThreeD="1"/>
</file>

<file path=xl/ctrlProps/ctrlProp45.xml><?xml version="1.0" encoding="utf-8"?>
<formControlPr xmlns="http://schemas.microsoft.com/office/spreadsheetml/2009/9/main" objectType="CheckBox" checked="Checked" fmlaLink="'Data Analysis'!D257" lockText="1" noThreeD="1"/>
</file>

<file path=xl/ctrlProps/ctrlProp46.xml><?xml version="1.0" encoding="utf-8"?>
<formControlPr xmlns="http://schemas.microsoft.com/office/spreadsheetml/2009/9/main" objectType="CheckBox" checked="Checked" fmlaLink="'Data Analysis'!D258" lockText="1" noThreeD="1"/>
</file>

<file path=xl/ctrlProps/ctrlProp47.xml><?xml version="1.0" encoding="utf-8"?>
<formControlPr xmlns="http://schemas.microsoft.com/office/spreadsheetml/2009/9/main" objectType="CheckBox" checked="Checked" fmlaLink="'Data Analysis'!D259" lockText="1" noThreeD="1"/>
</file>

<file path=xl/ctrlProps/ctrlProp48.xml><?xml version="1.0" encoding="utf-8"?>
<formControlPr xmlns="http://schemas.microsoft.com/office/spreadsheetml/2009/9/main" objectType="CheckBox" checked="Checked" fmlaLink="'Data Analysis'!D260" lockText="1" noThreeD="1"/>
</file>

<file path=xl/ctrlProps/ctrlProp49.xml><?xml version="1.0" encoding="utf-8"?>
<formControlPr xmlns="http://schemas.microsoft.com/office/spreadsheetml/2009/9/main" objectType="Scroll" dx="22" fmlaLink="G24" horiz="1" max="80" min="5" page="0" val="20"/>
</file>

<file path=xl/ctrlProps/ctrlProp50.xml><?xml version="1.0" encoding="utf-8"?>
<formControlPr xmlns="http://schemas.microsoft.com/office/spreadsheetml/2009/9/main" objectType="CheckBox" checked="Checked" fmlaLink="'Data Analysis'!D261" lockText="1" noThreeD="1"/>
</file>

<file path=xl/ctrlProps/ctrlProp51.xml><?xml version="1.0" encoding="utf-8"?>
<formControlPr xmlns="http://schemas.microsoft.com/office/spreadsheetml/2009/9/main" objectType="CheckBox" checked="Checked" fmlaLink="'Data Analysis'!D262" lockText="1" noThreeD="1"/>
</file>

<file path=xl/ctrlProps/ctrlProp52.xml><?xml version="1.0" encoding="utf-8"?>
<formControlPr xmlns="http://schemas.microsoft.com/office/spreadsheetml/2009/9/main" objectType="CheckBox" checked="Checked" fmlaLink="'Data Analysis'!D263" lockText="1" noThreeD="1"/>
</file>

<file path=xl/ctrlProps/ctrlProp53.xml><?xml version="1.0" encoding="utf-8"?>
<formControlPr xmlns="http://schemas.microsoft.com/office/spreadsheetml/2009/9/main" objectType="CheckBox" checked="Checked" fmlaLink="'Data Analysis'!D264" lockText="1" noThreeD="1"/>
</file>

<file path=xl/drawings/_rels/drawing1.xml.rels><?xml version="1.0" encoding="UTF-8" standalone="yes"?>
<Relationships xmlns="http://schemas.openxmlformats.org/package/2006/relationships"><Relationship Id="rId2" Type="http://schemas.openxmlformats.org/officeDocument/2006/relationships/hyperlink" Target="#'II.Preliminary Feasibility'!AW103"/><Relationship Id="rId1" Type="http://schemas.openxmlformats.org/officeDocument/2006/relationships/hyperlink" Target="#Dashboard!A1"/></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SuitabilityA"/><Relationship Id="rId7" Type="http://schemas.openxmlformats.org/officeDocument/2006/relationships/image" Target="../media/image1.png"/><Relationship Id="rId2" Type="http://schemas.openxmlformats.org/officeDocument/2006/relationships/chart" Target="../charts/chart1.xml"/><Relationship Id="rId1" Type="http://schemas.openxmlformats.org/officeDocument/2006/relationships/hyperlink" Target="#Dashboard!A1"/><Relationship Id="rId6" Type="http://schemas.openxmlformats.org/officeDocument/2006/relationships/hyperlink" Target="#SuitabilityD"/><Relationship Id="rId5" Type="http://schemas.openxmlformats.org/officeDocument/2006/relationships/hyperlink" Target="#SuitabilityC"/><Relationship Id="rId10" Type="http://schemas.openxmlformats.org/officeDocument/2006/relationships/image" Target="../media/image4.png"/><Relationship Id="rId4" Type="http://schemas.openxmlformats.org/officeDocument/2006/relationships/hyperlink" Target="#SuitabilityB"/><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hyperlink" Target="#Feasibilityc"/><Relationship Id="rId3" Type="http://schemas.openxmlformats.org/officeDocument/2006/relationships/hyperlink" Target="#Dashboard!A1"/><Relationship Id="rId7" Type="http://schemas.openxmlformats.org/officeDocument/2006/relationships/chart" Target="../charts/chart2.xml"/><Relationship Id="rId12" Type="http://schemas.openxmlformats.org/officeDocument/2006/relationships/hyperlink" Target="#'0.Basic Project Data'!O52"/><Relationship Id="rId2" Type="http://schemas.openxmlformats.org/officeDocument/2006/relationships/hyperlink" Target="#feasibilityb"/><Relationship Id="rId1" Type="http://schemas.openxmlformats.org/officeDocument/2006/relationships/hyperlink" Target="#Feasibilitya"/><Relationship Id="rId6" Type="http://schemas.openxmlformats.org/officeDocument/2006/relationships/image" Target="../media/image2.png"/><Relationship Id="rId11" Type="http://schemas.openxmlformats.org/officeDocument/2006/relationships/hyperlink" Target="#Feasibilityf"/><Relationship Id="rId5" Type="http://schemas.openxmlformats.org/officeDocument/2006/relationships/image" Target="../media/image1.png"/><Relationship Id="rId15" Type="http://schemas.openxmlformats.org/officeDocument/2006/relationships/image" Target="../media/image4.png"/><Relationship Id="rId10" Type="http://schemas.openxmlformats.org/officeDocument/2006/relationships/hyperlink" Target="#Feasibilitye"/><Relationship Id="rId4" Type="http://schemas.openxmlformats.org/officeDocument/2006/relationships/image" Target="../media/image3.png"/><Relationship Id="rId9" Type="http://schemas.openxmlformats.org/officeDocument/2006/relationships/hyperlink" Target="#Feasibilityd"/><Relationship Id="rId14" Type="http://schemas.openxmlformats.org/officeDocument/2006/relationships/hyperlink" Target="#'II.Preliminary Feasibility'!B42"/></Relationships>
</file>

<file path=xl/drawings/_rels/drawing4.xml.rels><?xml version="1.0" encoding="UTF-8" standalone="yes"?>
<Relationships xmlns="http://schemas.openxmlformats.org/package/2006/relationships"><Relationship Id="rId8" Type="http://schemas.openxmlformats.org/officeDocument/2006/relationships/hyperlink" Target="#Riskg"/><Relationship Id="rId13" Type="http://schemas.openxmlformats.org/officeDocument/2006/relationships/hyperlink" Target="#Riskd"/><Relationship Id="rId3" Type="http://schemas.openxmlformats.org/officeDocument/2006/relationships/image" Target="../media/image3.png"/><Relationship Id="rId7" Type="http://schemas.openxmlformats.org/officeDocument/2006/relationships/hyperlink" Target="#Riske"/><Relationship Id="rId12" Type="http://schemas.openxmlformats.org/officeDocument/2006/relationships/hyperlink" Target="#Riskc"/><Relationship Id="rId2" Type="http://schemas.openxmlformats.org/officeDocument/2006/relationships/hyperlink" Target="#Dashboard"/><Relationship Id="rId1" Type="http://schemas.openxmlformats.org/officeDocument/2006/relationships/chart" Target="../charts/chart4.xml"/><Relationship Id="rId6" Type="http://schemas.openxmlformats.org/officeDocument/2006/relationships/hyperlink" Target="#Riskf"/><Relationship Id="rId11" Type="http://schemas.openxmlformats.org/officeDocument/2006/relationships/hyperlink" Target="#Riskb"/><Relationship Id="rId5" Type="http://schemas.openxmlformats.org/officeDocument/2006/relationships/image" Target="../media/image2.png"/><Relationship Id="rId10" Type="http://schemas.openxmlformats.org/officeDocument/2006/relationships/hyperlink" Target="#Riska"/><Relationship Id="rId4" Type="http://schemas.openxmlformats.org/officeDocument/2006/relationships/image" Target="../media/image1.png"/><Relationship Id="rId9" Type="http://schemas.openxmlformats.org/officeDocument/2006/relationships/hyperlink" Target="#Riskh"/><Relationship Id="rId1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hyperlink" Target="#abilitya"/><Relationship Id="rId3" Type="http://schemas.openxmlformats.org/officeDocument/2006/relationships/hyperlink" Target="#Admin"/><Relationship Id="rId7" Type="http://schemas.openxmlformats.org/officeDocument/2006/relationships/hyperlink" Target="#Abilityb"/><Relationship Id="rId2" Type="http://schemas.openxmlformats.org/officeDocument/2006/relationships/hyperlink" Target="#Dashboard"/><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png"/><Relationship Id="rId10" Type="http://schemas.openxmlformats.org/officeDocument/2006/relationships/hyperlink" Target="#abilityc"/><Relationship Id="rId4" Type="http://schemas.openxmlformats.org/officeDocument/2006/relationships/image" Target="../media/image3.png"/><Relationship Id="rId9"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6.xml"/><Relationship Id="rId7" Type="http://schemas.openxmlformats.org/officeDocument/2006/relationships/hyperlink" Target="#Affordabilitb"/><Relationship Id="rId2" Type="http://schemas.openxmlformats.org/officeDocument/2006/relationships/hyperlink" Target="#Affordabilitya"/><Relationship Id="rId1" Type="http://schemas.openxmlformats.org/officeDocument/2006/relationships/hyperlink" Target="#Dashboard"/><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3.png"/><Relationship Id="rId7" Type="http://schemas.openxmlformats.org/officeDocument/2006/relationships/hyperlink" Target="#Institutionalc"/><Relationship Id="rId2" Type="http://schemas.openxmlformats.org/officeDocument/2006/relationships/chart" Target="../charts/chart7.xml"/><Relationship Id="rId1" Type="http://schemas.openxmlformats.org/officeDocument/2006/relationships/hyperlink" Target="#Institutionala"/><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Dashboard"/></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chart" Target="../charts/chart8.xml"/><Relationship Id="rId6" Type="http://schemas.openxmlformats.org/officeDocument/2006/relationships/chart" Target="../charts/chart9.xml"/><Relationship Id="rId5" Type="http://schemas.openxmlformats.org/officeDocument/2006/relationships/image" Target="../media/image3.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hyperlink" Target="#Dashboard"/></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7</xdr:col>
      <xdr:colOff>2238376</xdr:colOff>
      <xdr:row>0</xdr:row>
      <xdr:rowOff>83344</xdr:rowOff>
    </xdr:from>
    <xdr:to>
      <xdr:col>11</xdr:col>
      <xdr:colOff>1</xdr:colOff>
      <xdr:row>0</xdr:row>
      <xdr:rowOff>392905</xdr:rowOff>
    </xdr:to>
    <xdr:sp macro="" textlink="Dashboard">
      <xdr:nvSpPr>
        <xdr:cNvPr id="3" name="Chevro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9925051" y="83344"/>
          <a:ext cx="1657350" cy="309561"/>
        </a:xfrm>
        <a:prstGeom prst="chevron">
          <a:avLst/>
        </a:prstGeom>
        <a:solidFill>
          <a:srgbClr val="00B0F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F905C6AF-631B-43ED-A9A9-9812BEA3FF14}" type="TxLink">
            <a:rPr lang="en-US" sz="2000" b="1" i="0" u="none" strike="noStrike">
              <a:solidFill>
                <a:schemeClr val="bg1"/>
              </a:solidFill>
              <a:latin typeface="Calibri"/>
            </a:rPr>
            <a:pPr algn="ctr"/>
            <a:t>Dashboard</a:t>
          </a:fld>
          <a:endParaRPr lang="en-IN" sz="4000" b="1">
            <a:solidFill>
              <a:schemeClr val="bg1"/>
            </a:solidFill>
          </a:endParaRPr>
        </a:p>
      </xdr:txBody>
    </xdr:sp>
    <xdr:clientData/>
  </xdr:twoCellAnchor>
  <xdr:twoCellAnchor>
    <xdr:from>
      <xdr:col>14</xdr:col>
      <xdr:colOff>22562</xdr:colOff>
      <xdr:row>68</xdr:row>
      <xdr:rowOff>36881</xdr:rowOff>
    </xdr:from>
    <xdr:to>
      <xdr:col>18</xdr:col>
      <xdr:colOff>422080</xdr:colOff>
      <xdr:row>68</xdr:row>
      <xdr:rowOff>162866</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12767386" y="15418822"/>
          <a:ext cx="2969400" cy="1259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 tIns="0" rIns="9144" bIns="0" rtlCol="0" anchor="ctr"/>
        <a:lstStyle/>
        <a:p>
          <a:pPr algn="ctr"/>
          <a:r>
            <a:rPr lang="en-GB" sz="900"/>
            <a:t>For</a:t>
          </a:r>
          <a:r>
            <a:rPr lang="en-GB" sz="900" baseline="0"/>
            <a:t> more details, please go to </a:t>
          </a:r>
          <a:r>
            <a:rPr lang="en-GB" sz="900"/>
            <a:t>the Preliminary Feasibility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452438</xdr:colOff>
      <xdr:row>0</xdr:row>
      <xdr:rowOff>35718</xdr:rowOff>
    </xdr:from>
    <xdr:to>
      <xdr:col>28</xdr:col>
      <xdr:colOff>23813</xdr:colOff>
      <xdr:row>0</xdr:row>
      <xdr:rowOff>345279</xdr:rowOff>
    </xdr:to>
    <xdr:sp macro="" textlink="Dashboard">
      <xdr:nvSpPr>
        <xdr:cNvPr id="30" name="Chevron 29">
          <a:hlinkClick xmlns:r="http://schemas.openxmlformats.org/officeDocument/2006/relationships" r:id="rId1"/>
          <a:extLst>
            <a:ext uri="{FF2B5EF4-FFF2-40B4-BE49-F238E27FC236}">
              <a16:creationId xmlns:a16="http://schemas.microsoft.com/office/drawing/2014/main" id="{00000000-0008-0000-0300-00001E000000}"/>
            </a:ext>
          </a:extLst>
        </xdr:cNvPr>
        <xdr:cNvSpPr/>
      </xdr:nvSpPr>
      <xdr:spPr>
        <a:xfrm>
          <a:off x="10810876" y="35718"/>
          <a:ext cx="1643062" cy="309561"/>
        </a:xfrm>
        <a:prstGeom prst="chevron">
          <a:avLst/>
        </a:prstGeom>
        <a:solidFill>
          <a:srgbClr val="00B0F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F905C6AF-631B-43ED-A9A9-9812BEA3FF14}" type="TxLink">
            <a:rPr lang="en-US" sz="2000" b="1" i="0" u="none" strike="noStrike">
              <a:solidFill>
                <a:schemeClr val="bg1"/>
              </a:solidFill>
              <a:latin typeface="Calibri"/>
            </a:rPr>
            <a:pPr algn="ctr"/>
            <a:t>Dashboard</a:t>
          </a:fld>
          <a:endParaRPr lang="en-IN" sz="4000" b="1">
            <a:solidFill>
              <a:schemeClr val="bg1"/>
            </a:solidFill>
          </a:endParaRPr>
        </a:p>
      </xdr:txBody>
    </xdr:sp>
    <xdr:clientData/>
  </xdr:twoCellAnchor>
  <xdr:twoCellAnchor>
    <xdr:from>
      <xdr:col>11</xdr:col>
      <xdr:colOff>7938</xdr:colOff>
      <xdr:row>6</xdr:row>
      <xdr:rowOff>158749</xdr:rowOff>
    </xdr:from>
    <xdr:to>
      <xdr:col>20</xdr:col>
      <xdr:colOff>218283</xdr:colOff>
      <xdr:row>24</xdr:row>
      <xdr:rowOff>170654</xdr:rowOff>
    </xdr:to>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2547933</xdr:colOff>
      <xdr:row>18</xdr:row>
      <xdr:rowOff>119063</xdr:rowOff>
    </xdr:from>
    <xdr:to>
      <xdr:col>14</xdr:col>
      <xdr:colOff>3214683</xdr:colOff>
      <xdr:row>20</xdr:row>
      <xdr:rowOff>11903</xdr:rowOff>
    </xdr:to>
    <xdr:sp macro="" textlink="'Data Analysis'!J295">
      <xdr:nvSpPr>
        <xdr:cNvPr id="2" name="Rounded Rectangle 1">
          <a:extLst>
            <a:ext uri="{FF2B5EF4-FFF2-40B4-BE49-F238E27FC236}">
              <a16:creationId xmlns:a16="http://schemas.microsoft.com/office/drawing/2014/main" id="{00000000-0008-0000-0300-000002000000}"/>
            </a:ext>
          </a:extLst>
        </xdr:cNvPr>
        <xdr:cNvSpPr/>
      </xdr:nvSpPr>
      <xdr:spPr>
        <a:xfrm>
          <a:off x="5572121" y="3512344"/>
          <a:ext cx="666750" cy="488153"/>
        </a:xfrm>
        <a:prstGeom prst="round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EDDD458-1965-4055-9D21-9B66963447AC}" type="TxLink">
            <a:rPr lang="en-US" sz="1400" b="1" i="0" u="none" strike="noStrike">
              <a:solidFill>
                <a:sysClr val="windowText" lastClr="000000"/>
              </a:solidFill>
              <a:latin typeface="Calibri"/>
              <a:cs typeface="Calibri"/>
            </a:rPr>
            <a:pPr algn="ctr"/>
            <a:t> </a:t>
          </a:fld>
          <a:endParaRPr lang="en-US" sz="1400" u="none">
            <a:solidFill>
              <a:sysClr val="windowText" lastClr="000000"/>
            </a:solidFill>
          </a:endParaRPr>
        </a:p>
      </xdr:txBody>
    </xdr:sp>
    <xdr:clientData/>
  </xdr:twoCellAnchor>
  <xdr:twoCellAnchor>
    <xdr:from>
      <xdr:col>35</xdr:col>
      <xdr:colOff>482379</xdr:colOff>
      <xdr:row>76</xdr:row>
      <xdr:rowOff>83345</xdr:rowOff>
    </xdr:from>
    <xdr:to>
      <xdr:col>37</xdr:col>
      <xdr:colOff>7030</xdr:colOff>
      <xdr:row>78</xdr:row>
      <xdr:rowOff>149592</xdr:rowOff>
    </xdr:to>
    <xdr:sp macro="" textlink="">
      <xdr:nvSpPr>
        <xdr:cNvPr id="23" name="Left Arrow 22">
          <a:hlinkClick xmlns:r="http://schemas.openxmlformats.org/officeDocument/2006/relationships" r:id="rId3"/>
          <a:extLst>
            <a:ext uri="{FF2B5EF4-FFF2-40B4-BE49-F238E27FC236}">
              <a16:creationId xmlns:a16="http://schemas.microsoft.com/office/drawing/2014/main" id="{00000000-0008-0000-0300-000017000000}"/>
            </a:ext>
          </a:extLst>
        </xdr:cNvPr>
        <xdr:cNvSpPr/>
      </xdr:nvSpPr>
      <xdr:spPr>
        <a:xfrm>
          <a:off x="21377848" y="14454189"/>
          <a:ext cx="739088" cy="447247"/>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35</xdr:col>
      <xdr:colOff>488156</xdr:colOff>
      <xdr:row>90</xdr:row>
      <xdr:rowOff>85724</xdr:rowOff>
    </xdr:from>
    <xdr:to>
      <xdr:col>36</xdr:col>
      <xdr:colOff>602343</xdr:colOff>
      <xdr:row>92</xdr:row>
      <xdr:rowOff>142875</xdr:rowOff>
    </xdr:to>
    <xdr:sp macro="" textlink="">
      <xdr:nvSpPr>
        <xdr:cNvPr id="24" name="Left Arrow 23">
          <a:hlinkClick xmlns:r="http://schemas.openxmlformats.org/officeDocument/2006/relationships" r:id="rId4"/>
          <a:extLst>
            <a:ext uri="{FF2B5EF4-FFF2-40B4-BE49-F238E27FC236}">
              <a16:creationId xmlns:a16="http://schemas.microsoft.com/office/drawing/2014/main" id="{00000000-0008-0000-0300-000018000000}"/>
            </a:ext>
          </a:extLst>
        </xdr:cNvPr>
        <xdr:cNvSpPr/>
      </xdr:nvSpPr>
      <xdr:spPr>
        <a:xfrm>
          <a:off x="21383625" y="17123568"/>
          <a:ext cx="721406" cy="438151"/>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35</xdr:col>
      <xdr:colOff>500062</xdr:colOff>
      <xdr:row>104</xdr:row>
      <xdr:rowOff>59532</xdr:rowOff>
    </xdr:from>
    <xdr:to>
      <xdr:col>37</xdr:col>
      <xdr:colOff>7030</xdr:colOff>
      <xdr:row>104</xdr:row>
      <xdr:rowOff>523874</xdr:rowOff>
    </xdr:to>
    <xdr:sp macro="" textlink="">
      <xdr:nvSpPr>
        <xdr:cNvPr id="25" name="Left Arrow 24">
          <a:hlinkClick xmlns:r="http://schemas.openxmlformats.org/officeDocument/2006/relationships" r:id="rId5"/>
          <a:extLst>
            <a:ext uri="{FF2B5EF4-FFF2-40B4-BE49-F238E27FC236}">
              <a16:creationId xmlns:a16="http://schemas.microsoft.com/office/drawing/2014/main" id="{00000000-0008-0000-0300-000019000000}"/>
            </a:ext>
          </a:extLst>
        </xdr:cNvPr>
        <xdr:cNvSpPr/>
      </xdr:nvSpPr>
      <xdr:spPr>
        <a:xfrm>
          <a:off x="21395531" y="19800095"/>
          <a:ext cx="721405" cy="464342"/>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35</xdr:col>
      <xdr:colOff>506569</xdr:colOff>
      <xdr:row>113</xdr:row>
      <xdr:rowOff>11904</xdr:rowOff>
    </xdr:from>
    <xdr:to>
      <xdr:col>36</xdr:col>
      <xdr:colOff>607217</xdr:colOff>
      <xdr:row>116</xdr:row>
      <xdr:rowOff>119062</xdr:rowOff>
    </xdr:to>
    <xdr:sp macro="" textlink="">
      <xdr:nvSpPr>
        <xdr:cNvPr id="33" name="Left Arrow 32">
          <a:hlinkClick xmlns:r="http://schemas.openxmlformats.org/officeDocument/2006/relationships" r:id="rId6"/>
          <a:extLst>
            <a:ext uri="{FF2B5EF4-FFF2-40B4-BE49-F238E27FC236}">
              <a16:creationId xmlns:a16="http://schemas.microsoft.com/office/drawing/2014/main" id="{00000000-0008-0000-0300-000021000000}"/>
            </a:ext>
          </a:extLst>
        </xdr:cNvPr>
        <xdr:cNvSpPr/>
      </xdr:nvSpPr>
      <xdr:spPr>
        <a:xfrm>
          <a:off x="21402038" y="21431248"/>
          <a:ext cx="707867" cy="428627"/>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editAs="oneCell">
    <xdr:from>
      <xdr:col>21</xdr:col>
      <xdr:colOff>397656</xdr:colOff>
      <xdr:row>19</xdr:row>
      <xdr:rowOff>13447</xdr:rowOff>
    </xdr:from>
    <xdr:to>
      <xdr:col>21</xdr:col>
      <xdr:colOff>568033</xdr:colOff>
      <xdr:row>19</xdr:row>
      <xdr:rowOff>163932</xdr:rowOff>
    </xdr:to>
    <xdr:pic>
      <xdr:nvPicPr>
        <xdr:cNvPr id="21" name="Pictur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7"/>
        <a:stretch>
          <a:fillRect/>
        </a:stretch>
      </xdr:blipFill>
      <xdr:spPr>
        <a:xfrm flipV="1">
          <a:off x="4779156" y="3432922"/>
          <a:ext cx="170377" cy="150485"/>
        </a:xfrm>
        <a:prstGeom prst="rect">
          <a:avLst/>
        </a:prstGeom>
      </xdr:spPr>
    </xdr:pic>
    <xdr:clientData/>
  </xdr:twoCellAnchor>
  <xdr:twoCellAnchor editAs="oneCell">
    <xdr:from>
      <xdr:col>21</xdr:col>
      <xdr:colOff>397200</xdr:colOff>
      <xdr:row>20</xdr:row>
      <xdr:rowOff>12078</xdr:rowOff>
    </xdr:from>
    <xdr:to>
      <xdr:col>21</xdr:col>
      <xdr:colOff>583149</xdr:colOff>
      <xdr:row>20</xdr:row>
      <xdr:rowOff>165113</xdr:rowOff>
    </xdr:to>
    <xdr:pic>
      <xdr:nvPicPr>
        <xdr:cNvPr id="22" name="Pictur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8"/>
        <a:stretch>
          <a:fillRect/>
        </a:stretch>
      </xdr:blipFill>
      <xdr:spPr>
        <a:xfrm>
          <a:off x="4778700" y="3622053"/>
          <a:ext cx="185949" cy="153035"/>
        </a:xfrm>
        <a:prstGeom prst="rect">
          <a:avLst/>
        </a:prstGeom>
      </xdr:spPr>
    </xdr:pic>
    <xdr:clientData/>
  </xdr:twoCellAnchor>
  <xdr:twoCellAnchor editAs="oneCell">
    <xdr:from>
      <xdr:col>2</xdr:col>
      <xdr:colOff>3971</xdr:colOff>
      <xdr:row>9</xdr:row>
      <xdr:rowOff>47624</xdr:rowOff>
    </xdr:from>
    <xdr:to>
      <xdr:col>12</xdr:col>
      <xdr:colOff>42698</xdr:colOff>
      <xdr:row>10</xdr:row>
      <xdr:rowOff>1913</xdr:rowOff>
    </xdr:to>
    <xdr:pic>
      <xdr:nvPicPr>
        <xdr:cNvPr id="27" name="Picture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9"/>
        <a:stretch>
          <a:fillRect/>
        </a:stretch>
      </xdr:blipFill>
      <xdr:spPr>
        <a:xfrm flipV="1">
          <a:off x="305596" y="1754187"/>
          <a:ext cx="2761290" cy="144789"/>
        </a:xfrm>
        <a:prstGeom prst="rect">
          <a:avLst/>
        </a:prstGeom>
      </xdr:spPr>
    </xdr:pic>
    <xdr:clientData/>
  </xdr:twoCellAnchor>
  <xdr:twoCellAnchor editAs="oneCell">
    <xdr:from>
      <xdr:col>1</xdr:col>
      <xdr:colOff>297658</xdr:colOff>
      <xdr:row>11</xdr:row>
      <xdr:rowOff>190498</xdr:rowOff>
    </xdr:from>
    <xdr:to>
      <xdr:col>12</xdr:col>
      <xdr:colOff>34760</xdr:colOff>
      <xdr:row>12</xdr:row>
      <xdr:rowOff>144787</xdr:rowOff>
    </xdr:to>
    <xdr:pic>
      <xdr:nvPicPr>
        <xdr:cNvPr id="28" name="Picture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9"/>
        <a:stretch>
          <a:fillRect/>
        </a:stretch>
      </xdr:blipFill>
      <xdr:spPr>
        <a:xfrm flipV="1">
          <a:off x="297658" y="2278061"/>
          <a:ext cx="2761290" cy="144789"/>
        </a:xfrm>
        <a:prstGeom prst="rect">
          <a:avLst/>
        </a:prstGeom>
      </xdr:spPr>
    </xdr:pic>
    <xdr:clientData/>
  </xdr:twoCellAnchor>
  <xdr:twoCellAnchor editAs="oneCell">
    <xdr:from>
      <xdr:col>2</xdr:col>
      <xdr:colOff>9525</xdr:colOff>
      <xdr:row>14</xdr:row>
      <xdr:rowOff>188118</xdr:rowOff>
    </xdr:from>
    <xdr:to>
      <xdr:col>12</xdr:col>
      <xdr:colOff>32377</xdr:colOff>
      <xdr:row>15</xdr:row>
      <xdr:rowOff>142407</xdr:rowOff>
    </xdr:to>
    <xdr:pic>
      <xdr:nvPicPr>
        <xdr:cNvPr id="29" name="Picture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9"/>
        <a:stretch>
          <a:fillRect/>
        </a:stretch>
      </xdr:blipFill>
      <xdr:spPr>
        <a:xfrm flipV="1">
          <a:off x="311150" y="2847181"/>
          <a:ext cx="2745415" cy="144789"/>
        </a:xfrm>
        <a:prstGeom prst="rect">
          <a:avLst/>
        </a:prstGeom>
      </xdr:spPr>
    </xdr:pic>
    <xdr:clientData/>
  </xdr:twoCellAnchor>
  <xdr:twoCellAnchor editAs="oneCell">
    <xdr:from>
      <xdr:col>1</xdr:col>
      <xdr:colOff>300834</xdr:colOff>
      <xdr:row>17</xdr:row>
      <xdr:rowOff>185737</xdr:rowOff>
    </xdr:from>
    <xdr:to>
      <xdr:col>12</xdr:col>
      <xdr:colOff>37936</xdr:colOff>
      <xdr:row>18</xdr:row>
      <xdr:rowOff>140026</xdr:rowOff>
    </xdr:to>
    <xdr:pic>
      <xdr:nvPicPr>
        <xdr:cNvPr id="32" name="Picture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9"/>
        <a:stretch>
          <a:fillRect/>
        </a:stretch>
      </xdr:blipFill>
      <xdr:spPr>
        <a:xfrm flipV="1">
          <a:off x="300834" y="3416300"/>
          <a:ext cx="2761290" cy="144789"/>
        </a:xfrm>
        <a:prstGeom prst="rect">
          <a:avLst/>
        </a:prstGeom>
      </xdr:spPr>
    </xdr:pic>
    <xdr:clientData/>
  </xdr:twoCellAnchor>
  <xdr:twoCellAnchor editAs="oneCell">
    <xdr:from>
      <xdr:col>21</xdr:col>
      <xdr:colOff>400774</xdr:colOff>
      <xdr:row>21</xdr:row>
      <xdr:rowOff>5154</xdr:rowOff>
    </xdr:from>
    <xdr:to>
      <xdr:col>21</xdr:col>
      <xdr:colOff>580287</xdr:colOff>
      <xdr:row>21</xdr:row>
      <xdr:rowOff>164060</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0"/>
        <a:stretch>
          <a:fillRect/>
        </a:stretch>
      </xdr:blipFill>
      <xdr:spPr>
        <a:xfrm>
          <a:off x="4960074" y="4196154"/>
          <a:ext cx="179513" cy="158906"/>
        </a:xfrm>
        <a:prstGeom prst="rect">
          <a:avLst/>
        </a:prstGeom>
      </xdr:spPr>
    </xdr:pic>
    <xdr:clientData/>
  </xdr:twoCellAnchor>
  <xdr:twoCellAnchor editAs="oneCell">
    <xdr:from>
      <xdr:col>21</xdr:col>
      <xdr:colOff>404809</xdr:colOff>
      <xdr:row>22</xdr:row>
      <xdr:rowOff>0</xdr:rowOff>
    </xdr:from>
    <xdr:to>
      <xdr:col>21</xdr:col>
      <xdr:colOff>575186</xdr:colOff>
      <xdr:row>22</xdr:row>
      <xdr:rowOff>150485</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a:stretch>
          <a:fillRect/>
        </a:stretch>
      </xdr:blipFill>
      <xdr:spPr>
        <a:xfrm flipV="1">
          <a:off x="4964109" y="4381500"/>
          <a:ext cx="170377" cy="150485"/>
        </a:xfrm>
        <a:prstGeom prst="rect">
          <a:avLst/>
        </a:prstGeom>
      </xdr:spPr>
    </xdr:pic>
    <xdr:clientData/>
  </xdr:twoCellAnchor>
  <xdr:twoCellAnchor editAs="oneCell">
    <xdr:from>
      <xdr:col>21</xdr:col>
      <xdr:colOff>392910</xdr:colOff>
      <xdr:row>23</xdr:row>
      <xdr:rowOff>0</xdr:rowOff>
    </xdr:from>
    <xdr:to>
      <xdr:col>21</xdr:col>
      <xdr:colOff>578859</xdr:colOff>
      <xdr:row>23</xdr:row>
      <xdr:rowOff>153035</xdr:rowOff>
    </xdr:to>
    <xdr:pic>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8"/>
        <a:stretch>
          <a:fillRect/>
        </a:stretch>
      </xdr:blipFill>
      <xdr:spPr>
        <a:xfrm>
          <a:off x="4952210" y="4572000"/>
          <a:ext cx="185949" cy="1530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46</xdr:col>
      <xdr:colOff>567767</xdr:colOff>
      <xdr:row>92</xdr:row>
      <xdr:rowOff>142875</xdr:rowOff>
    </xdr:from>
    <xdr:to>
      <xdr:col>47</xdr:col>
      <xdr:colOff>591342</xdr:colOff>
      <xdr:row>94</xdr:row>
      <xdr:rowOff>107157</xdr:rowOff>
    </xdr:to>
    <xdr:sp macro="" textlink="">
      <xdr:nvSpPr>
        <xdr:cNvPr id="24" name="Left Arrow 23">
          <a:hlinkClick xmlns:r="http://schemas.openxmlformats.org/officeDocument/2006/relationships" r:id="rId1"/>
          <a:extLst>
            <a:ext uri="{FF2B5EF4-FFF2-40B4-BE49-F238E27FC236}">
              <a16:creationId xmlns:a16="http://schemas.microsoft.com/office/drawing/2014/main" id="{00000000-0008-0000-0400-000018000000}"/>
            </a:ext>
          </a:extLst>
        </xdr:cNvPr>
        <xdr:cNvSpPr/>
      </xdr:nvSpPr>
      <xdr:spPr>
        <a:xfrm>
          <a:off x="26201923" y="18180844"/>
          <a:ext cx="630794" cy="452438"/>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46</xdr:col>
      <xdr:colOff>535781</xdr:colOff>
      <xdr:row>101</xdr:row>
      <xdr:rowOff>1750218</xdr:rowOff>
    </xdr:from>
    <xdr:to>
      <xdr:col>47</xdr:col>
      <xdr:colOff>591343</xdr:colOff>
      <xdr:row>102</xdr:row>
      <xdr:rowOff>11906</xdr:rowOff>
    </xdr:to>
    <xdr:sp macro="" textlink="">
      <xdr:nvSpPr>
        <xdr:cNvPr id="26" name="Left Arrow 25">
          <a:hlinkClick xmlns:r="http://schemas.openxmlformats.org/officeDocument/2006/relationships" r:id="rId2"/>
          <a:extLst>
            <a:ext uri="{FF2B5EF4-FFF2-40B4-BE49-F238E27FC236}">
              <a16:creationId xmlns:a16="http://schemas.microsoft.com/office/drawing/2014/main" id="{00000000-0008-0000-0400-00001A000000}"/>
            </a:ext>
          </a:extLst>
        </xdr:cNvPr>
        <xdr:cNvSpPr/>
      </xdr:nvSpPr>
      <xdr:spPr>
        <a:xfrm>
          <a:off x="26169937" y="22729031"/>
          <a:ext cx="662781" cy="476250"/>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25</xdr:col>
      <xdr:colOff>606517</xdr:colOff>
      <xdr:row>0</xdr:row>
      <xdr:rowOff>49725</xdr:rowOff>
    </xdr:from>
    <xdr:to>
      <xdr:col>29</xdr:col>
      <xdr:colOff>1</xdr:colOff>
      <xdr:row>0</xdr:row>
      <xdr:rowOff>364191</xdr:rowOff>
    </xdr:to>
    <xdr:sp macro="" textlink="Dashboard">
      <xdr:nvSpPr>
        <xdr:cNvPr id="39" name="Chevron 38">
          <a:hlinkClick xmlns:r="http://schemas.openxmlformats.org/officeDocument/2006/relationships" r:id="rId3"/>
          <a:extLst>
            <a:ext uri="{FF2B5EF4-FFF2-40B4-BE49-F238E27FC236}">
              <a16:creationId xmlns:a16="http://schemas.microsoft.com/office/drawing/2014/main" id="{00000000-0008-0000-0400-000027000000}"/>
            </a:ext>
          </a:extLst>
        </xdr:cNvPr>
        <xdr:cNvSpPr/>
      </xdr:nvSpPr>
      <xdr:spPr>
        <a:xfrm>
          <a:off x="11112032" y="49725"/>
          <a:ext cx="1858778" cy="314466"/>
        </a:xfrm>
        <a:prstGeom prst="chevron">
          <a:avLst/>
        </a:prstGeom>
        <a:solidFill>
          <a:srgbClr val="00B0F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15F3739B-11D4-4443-9D69-2346C7C5EF96}" type="TxLink">
            <a:rPr lang="en-US" sz="2000" b="1" i="0" u="none" strike="noStrike">
              <a:solidFill>
                <a:schemeClr val="bg1"/>
              </a:solidFill>
              <a:latin typeface="Calibri"/>
            </a:rPr>
            <a:pPr algn="ctr"/>
            <a:t>Dashboard</a:t>
          </a:fld>
          <a:endParaRPr lang="en-IN" sz="4000" b="1">
            <a:solidFill>
              <a:schemeClr val="bg1"/>
            </a:solidFill>
          </a:endParaRPr>
        </a:p>
      </xdr:txBody>
    </xdr:sp>
    <xdr:clientData/>
  </xdr:twoCellAnchor>
  <xdr:twoCellAnchor editAs="oneCell">
    <xdr:from>
      <xdr:col>2</xdr:col>
      <xdr:colOff>0</xdr:colOff>
      <xdr:row>9</xdr:row>
      <xdr:rowOff>70037</xdr:rowOff>
    </xdr:from>
    <xdr:to>
      <xdr:col>12</xdr:col>
      <xdr:colOff>216855</xdr:colOff>
      <xdr:row>10</xdr:row>
      <xdr:rowOff>18723</xdr:rowOff>
    </xdr:to>
    <xdr:pic>
      <xdr:nvPicPr>
        <xdr:cNvPr id="50" name="Picture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4"/>
        <a:stretch>
          <a:fillRect/>
        </a:stretch>
      </xdr:blipFill>
      <xdr:spPr>
        <a:xfrm flipV="1">
          <a:off x="583406" y="1939318"/>
          <a:ext cx="2562386" cy="139186"/>
        </a:xfrm>
        <a:prstGeom prst="rect">
          <a:avLst/>
        </a:prstGeom>
      </xdr:spPr>
    </xdr:pic>
    <xdr:clientData/>
  </xdr:twoCellAnchor>
  <xdr:twoCellAnchor editAs="oneCell">
    <xdr:from>
      <xdr:col>2</xdr:col>
      <xdr:colOff>10925</xdr:colOff>
      <xdr:row>11</xdr:row>
      <xdr:rowOff>167107</xdr:rowOff>
    </xdr:from>
    <xdr:to>
      <xdr:col>12</xdr:col>
      <xdr:colOff>219376</xdr:colOff>
      <xdr:row>12</xdr:row>
      <xdr:rowOff>121396</xdr:rowOff>
    </xdr:to>
    <xdr:pic>
      <xdr:nvPicPr>
        <xdr:cNvPr id="51" name="Picture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4"/>
        <a:stretch>
          <a:fillRect/>
        </a:stretch>
      </xdr:blipFill>
      <xdr:spPr>
        <a:xfrm flipV="1">
          <a:off x="522894" y="2429295"/>
          <a:ext cx="2553982" cy="144789"/>
        </a:xfrm>
        <a:prstGeom prst="rect">
          <a:avLst/>
        </a:prstGeom>
      </xdr:spPr>
    </xdr:pic>
    <xdr:clientData/>
  </xdr:twoCellAnchor>
  <xdr:twoCellAnchor editAs="oneCell">
    <xdr:from>
      <xdr:col>2</xdr:col>
      <xdr:colOff>7144</xdr:colOff>
      <xdr:row>15</xdr:row>
      <xdr:rowOff>841</xdr:rowOff>
    </xdr:from>
    <xdr:to>
      <xdr:col>12</xdr:col>
      <xdr:colOff>215595</xdr:colOff>
      <xdr:row>15</xdr:row>
      <xdr:rowOff>145630</xdr:rowOff>
    </xdr:to>
    <xdr:pic>
      <xdr:nvPicPr>
        <xdr:cNvPr id="58" name="Picture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4"/>
        <a:stretch>
          <a:fillRect/>
        </a:stretch>
      </xdr:blipFill>
      <xdr:spPr>
        <a:xfrm flipV="1">
          <a:off x="519113" y="3025029"/>
          <a:ext cx="2553982" cy="144789"/>
        </a:xfrm>
        <a:prstGeom prst="rect">
          <a:avLst/>
        </a:prstGeom>
      </xdr:spPr>
    </xdr:pic>
    <xdr:clientData/>
  </xdr:twoCellAnchor>
  <xdr:twoCellAnchor editAs="oneCell">
    <xdr:from>
      <xdr:col>2</xdr:col>
      <xdr:colOff>8965</xdr:colOff>
      <xdr:row>18</xdr:row>
      <xdr:rowOff>36979</xdr:rowOff>
    </xdr:from>
    <xdr:to>
      <xdr:col>12</xdr:col>
      <xdr:colOff>220217</xdr:colOff>
      <xdr:row>18</xdr:row>
      <xdr:rowOff>172243</xdr:rowOff>
    </xdr:to>
    <xdr:pic>
      <xdr:nvPicPr>
        <xdr:cNvPr id="59" name="Picture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4"/>
        <a:stretch>
          <a:fillRect/>
        </a:stretch>
      </xdr:blipFill>
      <xdr:spPr>
        <a:xfrm flipV="1">
          <a:off x="331134" y="3762935"/>
          <a:ext cx="2594603" cy="135264"/>
        </a:xfrm>
        <a:prstGeom prst="rect">
          <a:avLst/>
        </a:prstGeom>
      </xdr:spPr>
    </xdr:pic>
    <xdr:clientData/>
  </xdr:twoCellAnchor>
  <xdr:twoCellAnchor editAs="oneCell">
    <xdr:from>
      <xdr:col>2</xdr:col>
      <xdr:colOff>7284</xdr:colOff>
      <xdr:row>21</xdr:row>
      <xdr:rowOff>35298</xdr:rowOff>
    </xdr:from>
    <xdr:to>
      <xdr:col>12</xdr:col>
      <xdr:colOff>218536</xdr:colOff>
      <xdr:row>21</xdr:row>
      <xdr:rowOff>180087</xdr:rowOff>
    </xdr:to>
    <xdr:pic>
      <xdr:nvPicPr>
        <xdr:cNvPr id="60" name="Picture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4"/>
        <a:stretch>
          <a:fillRect/>
        </a:stretch>
      </xdr:blipFill>
      <xdr:spPr>
        <a:xfrm flipV="1">
          <a:off x="329453" y="4349563"/>
          <a:ext cx="2594603" cy="144789"/>
        </a:xfrm>
        <a:prstGeom prst="rect">
          <a:avLst/>
        </a:prstGeom>
      </xdr:spPr>
    </xdr:pic>
    <xdr:clientData/>
  </xdr:twoCellAnchor>
  <xdr:twoCellAnchor editAs="oneCell">
    <xdr:from>
      <xdr:col>3</xdr:col>
      <xdr:colOff>11673</xdr:colOff>
      <xdr:row>24</xdr:row>
      <xdr:rowOff>19612</xdr:rowOff>
    </xdr:from>
    <xdr:to>
      <xdr:col>12</xdr:col>
      <xdr:colOff>211019</xdr:colOff>
      <xdr:row>24</xdr:row>
      <xdr:rowOff>164401</xdr:rowOff>
    </xdr:to>
    <xdr:pic>
      <xdr:nvPicPr>
        <xdr:cNvPr id="61" name="Picture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4"/>
        <a:stretch>
          <a:fillRect/>
        </a:stretch>
      </xdr:blipFill>
      <xdr:spPr>
        <a:xfrm flipV="1">
          <a:off x="614923" y="4734487"/>
          <a:ext cx="2699658" cy="144789"/>
        </a:xfrm>
        <a:prstGeom prst="rect">
          <a:avLst/>
        </a:prstGeom>
      </xdr:spPr>
    </xdr:pic>
    <xdr:clientData/>
  </xdr:twoCellAnchor>
  <xdr:twoCellAnchor editAs="oneCell">
    <xdr:from>
      <xdr:col>22</xdr:col>
      <xdr:colOff>397656</xdr:colOff>
      <xdr:row>21</xdr:row>
      <xdr:rowOff>13447</xdr:rowOff>
    </xdr:from>
    <xdr:to>
      <xdr:col>22</xdr:col>
      <xdr:colOff>568033</xdr:colOff>
      <xdr:row>21</xdr:row>
      <xdr:rowOff>163932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5"/>
        <a:stretch>
          <a:fillRect/>
        </a:stretch>
      </xdr:blipFill>
      <xdr:spPr>
        <a:xfrm flipV="1">
          <a:off x="8998731" y="3804397"/>
          <a:ext cx="170377" cy="150485"/>
        </a:xfrm>
        <a:prstGeom prst="rect">
          <a:avLst/>
        </a:prstGeom>
      </xdr:spPr>
    </xdr:pic>
    <xdr:clientData/>
  </xdr:twoCellAnchor>
  <xdr:twoCellAnchor editAs="oneCell">
    <xdr:from>
      <xdr:col>22</xdr:col>
      <xdr:colOff>397200</xdr:colOff>
      <xdr:row>22</xdr:row>
      <xdr:rowOff>12078</xdr:rowOff>
    </xdr:from>
    <xdr:to>
      <xdr:col>22</xdr:col>
      <xdr:colOff>583149</xdr:colOff>
      <xdr:row>22</xdr:row>
      <xdr:rowOff>165113</xdr:rowOff>
    </xdr:to>
    <xdr:pic>
      <xdr:nvPicPr>
        <xdr:cNvPr id="21" name="Pictur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6"/>
        <a:stretch>
          <a:fillRect/>
        </a:stretch>
      </xdr:blipFill>
      <xdr:spPr>
        <a:xfrm>
          <a:off x="8998275" y="3993528"/>
          <a:ext cx="185949" cy="153035"/>
        </a:xfrm>
        <a:prstGeom prst="rect">
          <a:avLst/>
        </a:prstGeom>
      </xdr:spPr>
    </xdr:pic>
    <xdr:clientData/>
  </xdr:twoCellAnchor>
  <xdr:twoCellAnchor>
    <xdr:from>
      <xdr:col>7</xdr:col>
      <xdr:colOff>11906</xdr:colOff>
      <xdr:row>3</xdr:row>
      <xdr:rowOff>59532</xdr:rowOff>
    </xdr:from>
    <xdr:to>
      <xdr:col>21</xdr:col>
      <xdr:colOff>19056</xdr:colOff>
      <xdr:row>32</xdr:row>
      <xdr:rowOff>35720</xdr:rowOff>
    </xdr:to>
    <xdr:graphicFrame macro="">
      <xdr:nvGraphicFramePr>
        <xdr:cNvPr id="23" name="BK">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242095</xdr:colOff>
      <xdr:row>8</xdr:row>
      <xdr:rowOff>71438</xdr:rowOff>
    </xdr:from>
    <xdr:to>
      <xdr:col>24</xdr:col>
      <xdr:colOff>158750</xdr:colOff>
      <xdr:row>30</xdr:row>
      <xdr:rowOff>55562</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46</xdr:col>
      <xdr:colOff>559595</xdr:colOff>
      <xdr:row>115</xdr:row>
      <xdr:rowOff>690562</xdr:rowOff>
    </xdr:from>
    <xdr:to>
      <xdr:col>47</xdr:col>
      <xdr:colOff>595313</xdr:colOff>
      <xdr:row>117</xdr:row>
      <xdr:rowOff>107156</xdr:rowOff>
    </xdr:to>
    <xdr:sp macro="" textlink="">
      <xdr:nvSpPr>
        <xdr:cNvPr id="25" name="Left Arrow 24">
          <a:hlinkClick xmlns:r="http://schemas.openxmlformats.org/officeDocument/2006/relationships" r:id="rId9"/>
          <a:extLst>
            <a:ext uri="{FF2B5EF4-FFF2-40B4-BE49-F238E27FC236}">
              <a16:creationId xmlns:a16="http://schemas.microsoft.com/office/drawing/2014/main" id="{00000000-0008-0000-0400-000019000000}"/>
            </a:ext>
          </a:extLst>
        </xdr:cNvPr>
        <xdr:cNvSpPr/>
      </xdr:nvSpPr>
      <xdr:spPr>
        <a:xfrm>
          <a:off x="26193751" y="26467593"/>
          <a:ext cx="642937" cy="464344"/>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46</xdr:col>
      <xdr:colOff>561310</xdr:colOff>
      <xdr:row>117</xdr:row>
      <xdr:rowOff>823913</xdr:rowOff>
    </xdr:from>
    <xdr:to>
      <xdr:col>47</xdr:col>
      <xdr:colOff>595313</xdr:colOff>
      <xdr:row>119</xdr:row>
      <xdr:rowOff>107157</xdr:rowOff>
    </xdr:to>
    <xdr:sp macro="" textlink="">
      <xdr:nvSpPr>
        <xdr:cNvPr id="28" name="Left Arrow 27">
          <a:hlinkClick xmlns:r="http://schemas.openxmlformats.org/officeDocument/2006/relationships" r:id="rId10"/>
          <a:extLst>
            <a:ext uri="{FF2B5EF4-FFF2-40B4-BE49-F238E27FC236}">
              <a16:creationId xmlns:a16="http://schemas.microsoft.com/office/drawing/2014/main" id="{00000000-0008-0000-0400-00001C000000}"/>
            </a:ext>
          </a:extLst>
        </xdr:cNvPr>
        <xdr:cNvSpPr/>
      </xdr:nvSpPr>
      <xdr:spPr>
        <a:xfrm>
          <a:off x="26195466" y="27648694"/>
          <a:ext cx="641222" cy="450057"/>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46</xdr:col>
      <xdr:colOff>573216</xdr:colOff>
      <xdr:row>119</xdr:row>
      <xdr:rowOff>2026441</xdr:rowOff>
    </xdr:from>
    <xdr:to>
      <xdr:col>48</xdr:col>
      <xdr:colOff>0</xdr:colOff>
      <xdr:row>121</xdr:row>
      <xdr:rowOff>107156</xdr:rowOff>
    </xdr:to>
    <xdr:sp macro="" textlink="">
      <xdr:nvSpPr>
        <xdr:cNvPr id="29" name="Left Arrow 28">
          <a:hlinkClick xmlns:r="http://schemas.openxmlformats.org/officeDocument/2006/relationships" r:id="rId11"/>
          <a:extLst>
            <a:ext uri="{FF2B5EF4-FFF2-40B4-BE49-F238E27FC236}">
              <a16:creationId xmlns:a16="http://schemas.microsoft.com/office/drawing/2014/main" id="{00000000-0008-0000-0400-00001D000000}"/>
            </a:ext>
          </a:extLst>
        </xdr:cNvPr>
        <xdr:cNvSpPr/>
      </xdr:nvSpPr>
      <xdr:spPr>
        <a:xfrm>
          <a:off x="26207372" y="30018035"/>
          <a:ext cx="641222" cy="450059"/>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42</xdr:col>
      <xdr:colOff>166687</xdr:colOff>
      <xdr:row>107</xdr:row>
      <xdr:rowOff>15876</xdr:rowOff>
    </xdr:from>
    <xdr:to>
      <xdr:col>47</xdr:col>
      <xdr:colOff>627062</xdr:colOff>
      <xdr:row>107</xdr:row>
      <xdr:rowOff>246064</xdr:rowOff>
    </xdr:to>
    <xdr:sp macro="" textlink="">
      <xdr:nvSpPr>
        <xdr:cNvPr id="2" name="Rectangle 1">
          <a:hlinkClick xmlns:r="http://schemas.openxmlformats.org/officeDocument/2006/relationships" r:id="rId12"/>
          <a:extLst>
            <a:ext uri="{FF2B5EF4-FFF2-40B4-BE49-F238E27FC236}">
              <a16:creationId xmlns:a16="http://schemas.microsoft.com/office/drawing/2014/main" id="{00000000-0008-0000-0400-000002000000}"/>
            </a:ext>
          </a:extLst>
        </xdr:cNvPr>
        <xdr:cNvSpPr/>
      </xdr:nvSpPr>
      <xdr:spPr>
        <a:xfrm>
          <a:off x="24653875" y="23368001"/>
          <a:ext cx="3675062" cy="2301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Go To - Information</a:t>
          </a:r>
          <a:r>
            <a:rPr lang="en-GB" sz="1100" baseline="0"/>
            <a:t> on </a:t>
          </a:r>
          <a:r>
            <a:rPr lang="en-GB" sz="1100"/>
            <a:t>GHG in Basic Project Data Sheet</a:t>
          </a:r>
        </a:p>
      </xdr:txBody>
    </xdr:sp>
    <xdr:clientData/>
  </xdr:twoCellAnchor>
  <xdr:twoCellAnchor>
    <xdr:from>
      <xdr:col>46</xdr:col>
      <xdr:colOff>557338</xdr:colOff>
      <xdr:row>110</xdr:row>
      <xdr:rowOff>1178722</xdr:rowOff>
    </xdr:from>
    <xdr:to>
      <xdr:col>48</xdr:col>
      <xdr:colOff>791</xdr:colOff>
      <xdr:row>111</xdr:row>
      <xdr:rowOff>83343</xdr:rowOff>
    </xdr:to>
    <xdr:sp macro="" textlink="">
      <xdr:nvSpPr>
        <xdr:cNvPr id="30" name="Left Arrow 26">
          <a:hlinkClick xmlns:r="http://schemas.openxmlformats.org/officeDocument/2006/relationships" r:id="rId13"/>
          <a:extLst>
            <a:ext uri="{FF2B5EF4-FFF2-40B4-BE49-F238E27FC236}">
              <a16:creationId xmlns:a16="http://schemas.microsoft.com/office/drawing/2014/main" id="{00000000-0008-0000-0400-00001E000000}"/>
            </a:ext>
          </a:extLst>
        </xdr:cNvPr>
        <xdr:cNvSpPr/>
      </xdr:nvSpPr>
      <xdr:spPr>
        <a:xfrm>
          <a:off x="26191494" y="33397035"/>
          <a:ext cx="657891" cy="583402"/>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46</xdr:col>
      <xdr:colOff>579433</xdr:colOff>
      <xdr:row>108</xdr:row>
      <xdr:rowOff>0</xdr:rowOff>
    </xdr:from>
    <xdr:to>
      <xdr:col>47</xdr:col>
      <xdr:colOff>615151</xdr:colOff>
      <xdr:row>108</xdr:row>
      <xdr:rowOff>464344</xdr:rowOff>
    </xdr:to>
    <xdr:sp macro="" textlink="">
      <xdr:nvSpPr>
        <xdr:cNvPr id="31" name="Left Arrow 24">
          <a:hlinkClick xmlns:r="http://schemas.openxmlformats.org/officeDocument/2006/relationships" r:id="rId14"/>
          <a:extLst>
            <a:ext uri="{FF2B5EF4-FFF2-40B4-BE49-F238E27FC236}">
              <a16:creationId xmlns:a16="http://schemas.microsoft.com/office/drawing/2014/main" id="{00000000-0008-0000-0400-00001F000000}"/>
            </a:ext>
          </a:extLst>
        </xdr:cNvPr>
        <xdr:cNvSpPr/>
      </xdr:nvSpPr>
      <xdr:spPr>
        <a:xfrm>
          <a:off x="27638371" y="23614063"/>
          <a:ext cx="678655" cy="464344"/>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editAs="oneCell">
    <xdr:from>
      <xdr:col>22</xdr:col>
      <xdr:colOff>400774</xdr:colOff>
      <xdr:row>23</xdr:row>
      <xdr:rowOff>5154</xdr:rowOff>
    </xdr:from>
    <xdr:to>
      <xdr:col>22</xdr:col>
      <xdr:colOff>580287</xdr:colOff>
      <xdr:row>23</xdr:row>
      <xdr:rowOff>164060</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5"/>
        <a:stretch>
          <a:fillRect/>
        </a:stretch>
      </xdr:blipFill>
      <xdr:spPr>
        <a:xfrm>
          <a:off x="8960574" y="4037404"/>
          <a:ext cx="179513" cy="158906"/>
        </a:xfrm>
        <a:prstGeom prst="rect">
          <a:avLst/>
        </a:prstGeom>
      </xdr:spPr>
    </xdr:pic>
    <xdr:clientData/>
  </xdr:twoCellAnchor>
  <xdr:twoCellAnchor editAs="oneCell">
    <xdr:from>
      <xdr:col>22</xdr:col>
      <xdr:colOff>404809</xdr:colOff>
      <xdr:row>24</xdr:row>
      <xdr:rowOff>0</xdr:rowOff>
    </xdr:from>
    <xdr:to>
      <xdr:col>22</xdr:col>
      <xdr:colOff>575186</xdr:colOff>
      <xdr:row>24</xdr:row>
      <xdr:rowOff>150485</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5"/>
        <a:stretch>
          <a:fillRect/>
        </a:stretch>
      </xdr:blipFill>
      <xdr:spPr>
        <a:xfrm flipV="1">
          <a:off x="8964609" y="4222750"/>
          <a:ext cx="170377" cy="150485"/>
        </a:xfrm>
        <a:prstGeom prst="rect">
          <a:avLst/>
        </a:prstGeom>
      </xdr:spPr>
    </xdr:pic>
    <xdr:clientData/>
  </xdr:twoCellAnchor>
  <xdr:twoCellAnchor editAs="oneCell">
    <xdr:from>
      <xdr:col>22</xdr:col>
      <xdr:colOff>392910</xdr:colOff>
      <xdr:row>25</xdr:row>
      <xdr:rowOff>0</xdr:rowOff>
    </xdr:from>
    <xdr:to>
      <xdr:col>22</xdr:col>
      <xdr:colOff>578859</xdr:colOff>
      <xdr:row>25</xdr:row>
      <xdr:rowOff>153035</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6"/>
        <a:stretch>
          <a:fillRect/>
        </a:stretch>
      </xdr:blipFill>
      <xdr:spPr>
        <a:xfrm>
          <a:off x="8952710" y="4413250"/>
          <a:ext cx="185949" cy="1530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207818</xdr:colOff>
      <xdr:row>5</xdr:row>
      <xdr:rowOff>138544</xdr:rowOff>
    </xdr:from>
    <xdr:to>
      <xdr:col>19</xdr:col>
      <xdr:colOff>519545</xdr:colOff>
      <xdr:row>28</xdr:row>
      <xdr:rowOff>-1</xdr:rowOff>
    </xdr:to>
    <xdr:graphicFrame macro="">
      <xdr:nvGraphicFramePr>
        <xdr:cNvPr id="4" name="BK">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23812</xdr:colOff>
      <xdr:row>0</xdr:row>
      <xdr:rowOff>47625</xdr:rowOff>
    </xdr:from>
    <xdr:to>
      <xdr:col>28</xdr:col>
      <xdr:colOff>95249</xdr:colOff>
      <xdr:row>1</xdr:row>
      <xdr:rowOff>0</xdr:rowOff>
    </xdr:to>
    <xdr:sp macro="" textlink="Dashboard">
      <xdr:nvSpPr>
        <xdr:cNvPr id="52" name="Chevron 51">
          <a:hlinkClick xmlns:r="http://schemas.openxmlformats.org/officeDocument/2006/relationships" r:id="rId2"/>
          <a:extLst>
            <a:ext uri="{FF2B5EF4-FFF2-40B4-BE49-F238E27FC236}">
              <a16:creationId xmlns:a16="http://schemas.microsoft.com/office/drawing/2014/main" id="{00000000-0008-0000-0500-000034000000}"/>
            </a:ext>
          </a:extLst>
        </xdr:cNvPr>
        <xdr:cNvSpPr/>
      </xdr:nvSpPr>
      <xdr:spPr>
        <a:xfrm>
          <a:off x="11394281" y="47625"/>
          <a:ext cx="1631156" cy="297656"/>
        </a:xfrm>
        <a:prstGeom prst="chevron">
          <a:avLst/>
        </a:prstGeom>
        <a:solidFill>
          <a:srgbClr val="00B0F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334DC791-F716-4270-B9C9-C9EE72D7C6CF}" type="TxLink">
            <a:rPr lang="en-US" sz="2000" b="1" i="0" u="none" strike="noStrike">
              <a:solidFill>
                <a:schemeClr val="bg1"/>
              </a:solidFill>
              <a:latin typeface="Calibri"/>
            </a:rPr>
            <a:pPr algn="ctr"/>
            <a:t>Dashboard</a:t>
          </a:fld>
          <a:endParaRPr lang="en-IN" sz="2000" b="1">
            <a:solidFill>
              <a:schemeClr val="bg1"/>
            </a:solidFill>
          </a:endParaRPr>
        </a:p>
      </xdr:txBody>
    </xdr:sp>
    <xdr:clientData/>
  </xdr:twoCellAnchor>
  <xdr:twoCellAnchor editAs="oneCell">
    <xdr:from>
      <xdr:col>3</xdr:col>
      <xdr:colOff>27781</xdr:colOff>
      <xdr:row>6</xdr:row>
      <xdr:rowOff>190498</xdr:rowOff>
    </xdr:from>
    <xdr:to>
      <xdr:col>13</xdr:col>
      <xdr:colOff>8731</xdr:colOff>
      <xdr:row>7</xdr:row>
      <xdr:rowOff>145090</xdr:rowOff>
    </xdr:to>
    <xdr:pic>
      <xdr:nvPicPr>
        <xdr:cNvPr id="47" name="Picture 46">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3"/>
        <a:stretch>
          <a:fillRect/>
        </a:stretch>
      </xdr:blipFill>
      <xdr:spPr>
        <a:xfrm flipV="1">
          <a:off x="329406" y="1484311"/>
          <a:ext cx="2743200" cy="145092"/>
        </a:xfrm>
        <a:prstGeom prst="rect">
          <a:avLst/>
        </a:prstGeom>
      </xdr:spPr>
    </xdr:pic>
    <xdr:clientData/>
  </xdr:twoCellAnchor>
  <xdr:twoCellAnchor editAs="oneCell">
    <xdr:from>
      <xdr:col>3</xdr:col>
      <xdr:colOff>19845</xdr:colOff>
      <xdr:row>9</xdr:row>
      <xdr:rowOff>163512</xdr:rowOff>
    </xdr:from>
    <xdr:to>
      <xdr:col>13</xdr:col>
      <xdr:colOff>4598</xdr:colOff>
      <xdr:row>10</xdr:row>
      <xdr:rowOff>144788</xdr:rowOff>
    </xdr:to>
    <xdr:pic>
      <xdr:nvPicPr>
        <xdr:cNvPr id="48" name="Picture 47">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3"/>
        <a:stretch>
          <a:fillRect/>
        </a:stretch>
      </xdr:blipFill>
      <xdr:spPr>
        <a:xfrm flipV="1">
          <a:off x="321470" y="2028825"/>
          <a:ext cx="2747003" cy="147963"/>
        </a:xfrm>
        <a:prstGeom prst="rect">
          <a:avLst/>
        </a:prstGeom>
      </xdr:spPr>
    </xdr:pic>
    <xdr:clientData/>
  </xdr:twoCellAnchor>
  <xdr:twoCellAnchor editAs="oneCell">
    <xdr:from>
      <xdr:col>3</xdr:col>
      <xdr:colOff>11907</xdr:colOff>
      <xdr:row>13</xdr:row>
      <xdr:rowOff>23812</xdr:rowOff>
    </xdr:from>
    <xdr:to>
      <xdr:col>12</xdr:col>
      <xdr:colOff>258596</xdr:colOff>
      <xdr:row>13</xdr:row>
      <xdr:rowOff>168601</xdr:rowOff>
    </xdr:to>
    <xdr:pic>
      <xdr:nvPicPr>
        <xdr:cNvPr id="50" name="Picture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3"/>
        <a:stretch>
          <a:fillRect/>
        </a:stretch>
      </xdr:blipFill>
      <xdr:spPr>
        <a:xfrm flipV="1">
          <a:off x="297657" y="2655093"/>
          <a:ext cx="2604127" cy="144789"/>
        </a:xfrm>
        <a:prstGeom prst="rect">
          <a:avLst/>
        </a:prstGeom>
      </xdr:spPr>
    </xdr:pic>
    <xdr:clientData/>
  </xdr:twoCellAnchor>
  <xdr:twoCellAnchor editAs="oneCell">
    <xdr:from>
      <xdr:col>3</xdr:col>
      <xdr:colOff>19844</xdr:colOff>
      <xdr:row>16</xdr:row>
      <xdr:rowOff>35720</xdr:rowOff>
    </xdr:from>
    <xdr:to>
      <xdr:col>13</xdr:col>
      <xdr:colOff>4597</xdr:colOff>
      <xdr:row>16</xdr:row>
      <xdr:rowOff>180509</xdr:rowOff>
    </xdr:to>
    <xdr:pic>
      <xdr:nvPicPr>
        <xdr:cNvPr id="53" name="Picture 52">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3"/>
        <a:stretch>
          <a:fillRect/>
        </a:stretch>
      </xdr:blipFill>
      <xdr:spPr>
        <a:xfrm flipV="1">
          <a:off x="321469" y="3210720"/>
          <a:ext cx="2747003" cy="144789"/>
        </a:xfrm>
        <a:prstGeom prst="rect">
          <a:avLst/>
        </a:prstGeom>
      </xdr:spPr>
    </xdr:pic>
    <xdr:clientData/>
  </xdr:twoCellAnchor>
  <xdr:twoCellAnchor editAs="oneCell">
    <xdr:from>
      <xdr:col>3</xdr:col>
      <xdr:colOff>17462</xdr:colOff>
      <xdr:row>28</xdr:row>
      <xdr:rowOff>33337</xdr:rowOff>
    </xdr:from>
    <xdr:to>
      <xdr:col>13</xdr:col>
      <xdr:colOff>11738</xdr:colOff>
      <xdr:row>28</xdr:row>
      <xdr:rowOff>178126</xdr:rowOff>
    </xdr:to>
    <xdr:pic>
      <xdr:nvPicPr>
        <xdr:cNvPr id="57" name="Picture 56">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3"/>
        <a:stretch>
          <a:fillRect/>
        </a:stretch>
      </xdr:blipFill>
      <xdr:spPr>
        <a:xfrm flipV="1">
          <a:off x="319087" y="5494337"/>
          <a:ext cx="2772401" cy="144789"/>
        </a:xfrm>
        <a:prstGeom prst="rect">
          <a:avLst/>
        </a:prstGeom>
      </xdr:spPr>
    </xdr:pic>
    <xdr:clientData/>
  </xdr:twoCellAnchor>
  <xdr:twoCellAnchor editAs="oneCell">
    <xdr:from>
      <xdr:col>3</xdr:col>
      <xdr:colOff>19844</xdr:colOff>
      <xdr:row>19</xdr:row>
      <xdr:rowOff>7142</xdr:rowOff>
    </xdr:from>
    <xdr:to>
      <xdr:col>13</xdr:col>
      <xdr:colOff>4597</xdr:colOff>
      <xdr:row>19</xdr:row>
      <xdr:rowOff>151931</xdr:rowOff>
    </xdr:to>
    <xdr:pic>
      <xdr:nvPicPr>
        <xdr:cNvPr id="61" name="Picture 60">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3"/>
        <a:stretch>
          <a:fillRect/>
        </a:stretch>
      </xdr:blipFill>
      <xdr:spPr>
        <a:xfrm flipV="1">
          <a:off x="321469" y="3753642"/>
          <a:ext cx="2747003" cy="144789"/>
        </a:xfrm>
        <a:prstGeom prst="rect">
          <a:avLst/>
        </a:prstGeom>
      </xdr:spPr>
    </xdr:pic>
    <xdr:clientData/>
  </xdr:twoCellAnchor>
  <xdr:twoCellAnchor editAs="oneCell">
    <xdr:from>
      <xdr:col>3</xdr:col>
      <xdr:colOff>19844</xdr:colOff>
      <xdr:row>21</xdr:row>
      <xdr:rowOff>188119</xdr:rowOff>
    </xdr:from>
    <xdr:to>
      <xdr:col>13</xdr:col>
      <xdr:colOff>4597</xdr:colOff>
      <xdr:row>22</xdr:row>
      <xdr:rowOff>142408</xdr:rowOff>
    </xdr:to>
    <xdr:pic>
      <xdr:nvPicPr>
        <xdr:cNvPr id="64" name="Picture 63">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3"/>
        <a:stretch>
          <a:fillRect/>
        </a:stretch>
      </xdr:blipFill>
      <xdr:spPr>
        <a:xfrm flipV="1">
          <a:off x="321469" y="4315619"/>
          <a:ext cx="2747003" cy="144789"/>
        </a:xfrm>
        <a:prstGeom prst="rect">
          <a:avLst/>
        </a:prstGeom>
      </xdr:spPr>
    </xdr:pic>
    <xdr:clientData/>
  </xdr:twoCellAnchor>
  <xdr:twoCellAnchor editAs="oneCell">
    <xdr:from>
      <xdr:col>22</xdr:col>
      <xdr:colOff>397656</xdr:colOff>
      <xdr:row>23</xdr:row>
      <xdr:rowOff>13447</xdr:rowOff>
    </xdr:from>
    <xdr:to>
      <xdr:col>22</xdr:col>
      <xdr:colOff>568033</xdr:colOff>
      <xdr:row>23</xdr:row>
      <xdr:rowOff>163932</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4"/>
        <a:stretch>
          <a:fillRect/>
        </a:stretch>
      </xdr:blipFill>
      <xdr:spPr>
        <a:xfrm flipV="1">
          <a:off x="8294747" y="4643174"/>
          <a:ext cx="170377" cy="150485"/>
        </a:xfrm>
        <a:prstGeom prst="rect">
          <a:avLst/>
        </a:prstGeom>
      </xdr:spPr>
    </xdr:pic>
    <xdr:clientData/>
  </xdr:twoCellAnchor>
  <xdr:twoCellAnchor editAs="oneCell">
    <xdr:from>
      <xdr:col>22</xdr:col>
      <xdr:colOff>397200</xdr:colOff>
      <xdr:row>24</xdr:row>
      <xdr:rowOff>12078</xdr:rowOff>
    </xdr:from>
    <xdr:to>
      <xdr:col>22</xdr:col>
      <xdr:colOff>583149</xdr:colOff>
      <xdr:row>24</xdr:row>
      <xdr:rowOff>165113</xdr:rowOff>
    </xdr:to>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5"/>
        <a:stretch>
          <a:fillRect/>
        </a:stretch>
      </xdr:blipFill>
      <xdr:spPr>
        <a:xfrm>
          <a:off x="9141150" y="4365003"/>
          <a:ext cx="185949" cy="153035"/>
        </a:xfrm>
        <a:prstGeom prst="rect">
          <a:avLst/>
        </a:prstGeom>
      </xdr:spPr>
    </xdr:pic>
    <xdr:clientData/>
  </xdr:twoCellAnchor>
  <xdr:twoCellAnchor>
    <xdr:from>
      <xdr:col>32</xdr:col>
      <xdr:colOff>83344</xdr:colOff>
      <xdr:row>158</xdr:row>
      <xdr:rowOff>3609972</xdr:rowOff>
    </xdr:from>
    <xdr:to>
      <xdr:col>33</xdr:col>
      <xdr:colOff>91820</xdr:colOff>
      <xdr:row>160</xdr:row>
      <xdr:rowOff>152844</xdr:rowOff>
    </xdr:to>
    <xdr:sp macro="" textlink="">
      <xdr:nvSpPr>
        <xdr:cNvPr id="26" name="Left Arrow 25">
          <a:hlinkClick xmlns:r="http://schemas.openxmlformats.org/officeDocument/2006/relationships" r:id="rId6"/>
          <a:extLst>
            <a:ext uri="{FF2B5EF4-FFF2-40B4-BE49-F238E27FC236}">
              <a16:creationId xmlns:a16="http://schemas.microsoft.com/office/drawing/2014/main" id="{00000000-0008-0000-0500-00001A000000}"/>
            </a:ext>
          </a:extLst>
        </xdr:cNvPr>
        <xdr:cNvSpPr/>
      </xdr:nvSpPr>
      <xdr:spPr>
        <a:xfrm>
          <a:off x="16287750" y="37018910"/>
          <a:ext cx="615695" cy="436215"/>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32</xdr:col>
      <xdr:colOff>107156</xdr:colOff>
      <xdr:row>156</xdr:row>
      <xdr:rowOff>757237</xdr:rowOff>
    </xdr:from>
    <xdr:to>
      <xdr:col>34</xdr:col>
      <xdr:colOff>8476</xdr:colOff>
      <xdr:row>158</xdr:row>
      <xdr:rowOff>127340</xdr:rowOff>
    </xdr:to>
    <xdr:sp macro="" textlink="">
      <xdr:nvSpPr>
        <xdr:cNvPr id="35" name="Left Arrow 34">
          <a:hlinkClick xmlns:r="http://schemas.openxmlformats.org/officeDocument/2006/relationships" r:id="rId7"/>
          <a:extLst>
            <a:ext uri="{FF2B5EF4-FFF2-40B4-BE49-F238E27FC236}">
              <a16:creationId xmlns:a16="http://schemas.microsoft.com/office/drawing/2014/main" id="{00000000-0008-0000-0500-000023000000}"/>
            </a:ext>
          </a:extLst>
        </xdr:cNvPr>
        <xdr:cNvSpPr/>
      </xdr:nvSpPr>
      <xdr:spPr>
        <a:xfrm>
          <a:off x="16311562" y="33094612"/>
          <a:ext cx="603789" cy="441666"/>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32</xdr:col>
      <xdr:colOff>11906</xdr:colOff>
      <xdr:row>160</xdr:row>
      <xdr:rowOff>1069180</xdr:rowOff>
    </xdr:from>
    <xdr:to>
      <xdr:col>33</xdr:col>
      <xdr:colOff>89439</xdr:colOff>
      <xdr:row>162</xdr:row>
      <xdr:rowOff>130969</xdr:rowOff>
    </xdr:to>
    <xdr:sp macro="" textlink="">
      <xdr:nvSpPr>
        <xdr:cNvPr id="37" name="Left Arrow 36">
          <a:hlinkClick xmlns:r="http://schemas.openxmlformats.org/officeDocument/2006/relationships" r:id="rId8"/>
          <a:extLst>
            <a:ext uri="{FF2B5EF4-FFF2-40B4-BE49-F238E27FC236}">
              <a16:creationId xmlns:a16="http://schemas.microsoft.com/office/drawing/2014/main" id="{00000000-0008-0000-0500-000025000000}"/>
            </a:ext>
          </a:extLst>
        </xdr:cNvPr>
        <xdr:cNvSpPr/>
      </xdr:nvSpPr>
      <xdr:spPr>
        <a:xfrm>
          <a:off x="16216312" y="38371461"/>
          <a:ext cx="684752" cy="478633"/>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31</xdr:col>
      <xdr:colOff>3571873</xdr:colOff>
      <xdr:row>162</xdr:row>
      <xdr:rowOff>745328</xdr:rowOff>
    </xdr:from>
    <xdr:to>
      <xdr:col>34</xdr:col>
      <xdr:colOff>15620</xdr:colOff>
      <xdr:row>164</xdr:row>
      <xdr:rowOff>130966</xdr:rowOff>
    </xdr:to>
    <xdr:sp macro="" textlink="">
      <xdr:nvSpPr>
        <xdr:cNvPr id="38" name="Left Arrow 37">
          <a:hlinkClick xmlns:r="http://schemas.openxmlformats.org/officeDocument/2006/relationships" r:id="rId9"/>
          <a:extLst>
            <a:ext uri="{FF2B5EF4-FFF2-40B4-BE49-F238E27FC236}">
              <a16:creationId xmlns:a16="http://schemas.microsoft.com/office/drawing/2014/main" id="{00000000-0008-0000-0500-000026000000}"/>
            </a:ext>
          </a:extLst>
        </xdr:cNvPr>
        <xdr:cNvSpPr/>
      </xdr:nvSpPr>
      <xdr:spPr>
        <a:xfrm>
          <a:off x="16204404" y="38738172"/>
          <a:ext cx="718091" cy="445294"/>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32</xdr:col>
      <xdr:colOff>107158</xdr:colOff>
      <xdr:row>132</xdr:row>
      <xdr:rowOff>95249</xdr:rowOff>
    </xdr:from>
    <xdr:to>
      <xdr:col>33</xdr:col>
      <xdr:colOff>91820</xdr:colOff>
      <xdr:row>134</xdr:row>
      <xdr:rowOff>123824</xdr:rowOff>
    </xdr:to>
    <xdr:sp macro="" textlink="">
      <xdr:nvSpPr>
        <xdr:cNvPr id="40" name="Left Arrow 39">
          <a:hlinkClick xmlns:r="http://schemas.openxmlformats.org/officeDocument/2006/relationships" r:id="rId10"/>
          <a:extLst>
            <a:ext uri="{FF2B5EF4-FFF2-40B4-BE49-F238E27FC236}">
              <a16:creationId xmlns:a16="http://schemas.microsoft.com/office/drawing/2014/main" id="{00000000-0008-0000-0500-000028000000}"/>
            </a:ext>
          </a:extLst>
        </xdr:cNvPr>
        <xdr:cNvSpPr/>
      </xdr:nvSpPr>
      <xdr:spPr>
        <a:xfrm>
          <a:off x="16311564" y="27717749"/>
          <a:ext cx="591881" cy="469106"/>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32</xdr:col>
      <xdr:colOff>119063</xdr:colOff>
      <xdr:row>138</xdr:row>
      <xdr:rowOff>107159</xdr:rowOff>
    </xdr:from>
    <xdr:to>
      <xdr:col>34</xdr:col>
      <xdr:colOff>8475</xdr:colOff>
      <xdr:row>140</xdr:row>
      <xdr:rowOff>95252</xdr:rowOff>
    </xdr:to>
    <xdr:sp macro="" textlink="">
      <xdr:nvSpPr>
        <xdr:cNvPr id="41" name="Left Arrow 40">
          <a:hlinkClick xmlns:r="http://schemas.openxmlformats.org/officeDocument/2006/relationships" r:id="rId11"/>
          <a:extLst>
            <a:ext uri="{FF2B5EF4-FFF2-40B4-BE49-F238E27FC236}">
              <a16:creationId xmlns:a16="http://schemas.microsoft.com/office/drawing/2014/main" id="{00000000-0008-0000-0500-000029000000}"/>
            </a:ext>
          </a:extLst>
        </xdr:cNvPr>
        <xdr:cNvSpPr/>
      </xdr:nvSpPr>
      <xdr:spPr>
        <a:xfrm>
          <a:off x="16323469" y="28979815"/>
          <a:ext cx="591881" cy="392906"/>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32</xdr:col>
      <xdr:colOff>35719</xdr:colOff>
      <xdr:row>143</xdr:row>
      <xdr:rowOff>0</xdr:rowOff>
    </xdr:from>
    <xdr:to>
      <xdr:col>33</xdr:col>
      <xdr:colOff>89438</xdr:colOff>
      <xdr:row>149</xdr:row>
      <xdr:rowOff>130408</xdr:rowOff>
    </xdr:to>
    <xdr:sp macro="" textlink="">
      <xdr:nvSpPr>
        <xdr:cNvPr id="42" name="Left Arrow 41">
          <a:hlinkClick xmlns:r="http://schemas.openxmlformats.org/officeDocument/2006/relationships" r:id="rId12"/>
          <a:extLst>
            <a:ext uri="{FF2B5EF4-FFF2-40B4-BE49-F238E27FC236}">
              <a16:creationId xmlns:a16="http://schemas.microsoft.com/office/drawing/2014/main" id="{00000000-0008-0000-0500-00002A000000}"/>
            </a:ext>
          </a:extLst>
        </xdr:cNvPr>
        <xdr:cNvSpPr/>
      </xdr:nvSpPr>
      <xdr:spPr>
        <a:xfrm>
          <a:off x="16240125" y="30610969"/>
          <a:ext cx="660938" cy="451877"/>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xdr:from>
      <xdr:col>32</xdr:col>
      <xdr:colOff>47625</xdr:colOff>
      <xdr:row>154</xdr:row>
      <xdr:rowOff>83345</xdr:rowOff>
    </xdr:from>
    <xdr:to>
      <xdr:col>34</xdr:col>
      <xdr:colOff>15619</xdr:colOff>
      <xdr:row>156</xdr:row>
      <xdr:rowOff>-1</xdr:rowOff>
    </xdr:to>
    <xdr:sp macro="" textlink="">
      <xdr:nvSpPr>
        <xdr:cNvPr id="43" name="Left Arrow 42">
          <a:hlinkClick xmlns:r="http://schemas.openxmlformats.org/officeDocument/2006/relationships" r:id="rId13"/>
          <a:extLst>
            <a:ext uri="{FF2B5EF4-FFF2-40B4-BE49-F238E27FC236}">
              <a16:creationId xmlns:a16="http://schemas.microsoft.com/office/drawing/2014/main" id="{00000000-0008-0000-0500-00002B000000}"/>
            </a:ext>
          </a:extLst>
        </xdr:cNvPr>
        <xdr:cNvSpPr/>
      </xdr:nvSpPr>
      <xdr:spPr>
        <a:xfrm>
          <a:off x="16252031" y="31289626"/>
          <a:ext cx="670463" cy="452436"/>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oneCellAnchor>
    <xdr:from>
      <xdr:col>3</xdr:col>
      <xdr:colOff>19844</xdr:colOff>
      <xdr:row>24</xdr:row>
      <xdr:rowOff>179645</xdr:rowOff>
    </xdr:from>
    <xdr:ext cx="2751931" cy="153006"/>
    <xdr:pic>
      <xdr:nvPicPr>
        <xdr:cNvPr id="25" name="Picture 24">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3"/>
        <a:stretch>
          <a:fillRect/>
        </a:stretch>
      </xdr:blipFill>
      <xdr:spPr>
        <a:xfrm flipV="1">
          <a:off x="315119" y="4884995"/>
          <a:ext cx="2751931" cy="153006"/>
        </a:xfrm>
        <a:prstGeom prst="rect">
          <a:avLst/>
        </a:prstGeom>
      </xdr:spPr>
    </xdr:pic>
    <xdr:clientData/>
  </xdr:oneCellAnchor>
  <xdr:twoCellAnchor editAs="oneCell">
    <xdr:from>
      <xdr:col>22</xdr:col>
      <xdr:colOff>400774</xdr:colOff>
      <xdr:row>25</xdr:row>
      <xdr:rowOff>5154</xdr:rowOff>
    </xdr:from>
    <xdr:to>
      <xdr:col>22</xdr:col>
      <xdr:colOff>580287</xdr:colOff>
      <xdr:row>25</xdr:row>
      <xdr:rowOff>164060</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4"/>
        <a:stretch>
          <a:fillRect/>
        </a:stretch>
      </xdr:blipFill>
      <xdr:spPr>
        <a:xfrm>
          <a:off x="8992324" y="4373954"/>
          <a:ext cx="179513" cy="158906"/>
        </a:xfrm>
        <a:prstGeom prst="rect">
          <a:avLst/>
        </a:prstGeom>
      </xdr:spPr>
    </xdr:pic>
    <xdr:clientData/>
  </xdr:twoCellAnchor>
  <xdr:twoCellAnchor editAs="oneCell">
    <xdr:from>
      <xdr:col>22</xdr:col>
      <xdr:colOff>404809</xdr:colOff>
      <xdr:row>26</xdr:row>
      <xdr:rowOff>0</xdr:rowOff>
    </xdr:from>
    <xdr:to>
      <xdr:col>22</xdr:col>
      <xdr:colOff>575186</xdr:colOff>
      <xdr:row>26</xdr:row>
      <xdr:rowOff>150485</xdr:rowOff>
    </xdr:to>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4"/>
        <a:stretch>
          <a:fillRect/>
        </a:stretch>
      </xdr:blipFill>
      <xdr:spPr>
        <a:xfrm flipV="1">
          <a:off x="8996359" y="4559300"/>
          <a:ext cx="170377" cy="150485"/>
        </a:xfrm>
        <a:prstGeom prst="rect">
          <a:avLst/>
        </a:prstGeom>
      </xdr:spPr>
    </xdr:pic>
    <xdr:clientData/>
  </xdr:twoCellAnchor>
  <xdr:twoCellAnchor editAs="oneCell">
    <xdr:from>
      <xdr:col>22</xdr:col>
      <xdr:colOff>392910</xdr:colOff>
      <xdr:row>27</xdr:row>
      <xdr:rowOff>0</xdr:rowOff>
    </xdr:from>
    <xdr:to>
      <xdr:col>22</xdr:col>
      <xdr:colOff>578859</xdr:colOff>
      <xdr:row>27</xdr:row>
      <xdr:rowOff>153035</xdr:rowOff>
    </xdr:to>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a:stretch>
          <a:fillRect/>
        </a:stretch>
      </xdr:blipFill>
      <xdr:spPr>
        <a:xfrm>
          <a:off x="8984460" y="4749800"/>
          <a:ext cx="185949" cy="1530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59530</xdr:colOff>
      <xdr:row>4</xdr:row>
      <xdr:rowOff>142875</xdr:rowOff>
    </xdr:from>
    <xdr:to>
      <xdr:col>20</xdr:col>
      <xdr:colOff>500061</xdr:colOff>
      <xdr:row>29</xdr:row>
      <xdr:rowOff>47627</xdr:rowOff>
    </xdr:to>
    <xdr:graphicFrame macro="">
      <xdr:nvGraphicFramePr>
        <xdr:cNvPr id="2" name="BK">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76199</xdr:colOff>
      <xdr:row>0</xdr:row>
      <xdr:rowOff>23813</xdr:rowOff>
    </xdr:from>
    <xdr:to>
      <xdr:col>29</xdr:col>
      <xdr:colOff>11905</xdr:colOff>
      <xdr:row>0</xdr:row>
      <xdr:rowOff>357188</xdr:rowOff>
    </xdr:to>
    <xdr:sp macro="" textlink="Dashboard">
      <xdr:nvSpPr>
        <xdr:cNvPr id="55" name="Chevron 54">
          <a:hlinkClick xmlns:r="http://schemas.openxmlformats.org/officeDocument/2006/relationships" r:id="rId2"/>
          <a:extLst>
            <a:ext uri="{FF2B5EF4-FFF2-40B4-BE49-F238E27FC236}">
              <a16:creationId xmlns:a16="http://schemas.microsoft.com/office/drawing/2014/main" id="{00000000-0008-0000-0600-000037000000}"/>
            </a:ext>
          </a:extLst>
        </xdr:cNvPr>
        <xdr:cNvSpPr/>
      </xdr:nvSpPr>
      <xdr:spPr>
        <a:xfrm>
          <a:off x="11089480" y="23813"/>
          <a:ext cx="1685925" cy="333375"/>
        </a:xfrm>
        <a:prstGeom prst="chevron">
          <a:avLst/>
        </a:prstGeom>
        <a:solidFill>
          <a:srgbClr val="00B0F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1ADB7BB0-5FA0-42AA-9FE2-EB3DD042C9C5}" type="TxLink">
            <a:rPr lang="en-US" sz="2000" b="1" i="0" u="none" strike="noStrike">
              <a:solidFill>
                <a:schemeClr val="bg1"/>
              </a:solidFill>
              <a:latin typeface="Calibri"/>
            </a:rPr>
            <a:pPr algn="ctr"/>
            <a:t>Dashboard</a:t>
          </a:fld>
          <a:endParaRPr lang="en-IN" sz="2000" b="1">
            <a:solidFill>
              <a:schemeClr val="bg1"/>
            </a:solidFill>
          </a:endParaRPr>
        </a:p>
      </xdr:txBody>
    </xdr:sp>
    <xdr:clientData/>
  </xdr:twoCellAnchor>
  <xdr:twoCellAnchor>
    <xdr:from>
      <xdr:col>25</xdr:col>
      <xdr:colOff>654844</xdr:colOff>
      <xdr:row>0</xdr:row>
      <xdr:rowOff>47625</xdr:rowOff>
    </xdr:from>
    <xdr:to>
      <xdr:col>25</xdr:col>
      <xdr:colOff>1750217</xdr:colOff>
      <xdr:row>0</xdr:row>
      <xdr:rowOff>381000</xdr:rowOff>
    </xdr:to>
    <xdr:sp macro="" textlink="">
      <xdr:nvSpPr>
        <xdr:cNvPr id="56" name="Rounded Rectangle 55">
          <a:hlinkClick xmlns:r="http://schemas.openxmlformats.org/officeDocument/2006/relationships" r:id="rId3"/>
          <a:extLst>
            <a:ext uri="{FF2B5EF4-FFF2-40B4-BE49-F238E27FC236}">
              <a16:creationId xmlns:a16="http://schemas.microsoft.com/office/drawing/2014/main" id="{00000000-0008-0000-0600-000038000000}"/>
            </a:ext>
          </a:extLst>
        </xdr:cNvPr>
        <xdr:cNvSpPr/>
      </xdr:nvSpPr>
      <xdr:spPr>
        <a:xfrm>
          <a:off x="10208419" y="47625"/>
          <a:ext cx="1095373" cy="333375"/>
        </a:xfrm>
        <a:prstGeom prst="roundRect">
          <a:avLst/>
        </a:prstGeom>
        <a:solidFill>
          <a:srgbClr val="FFFF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2000" b="1">
              <a:solidFill>
                <a:srgbClr val="FF0000"/>
              </a:solidFill>
            </a:rPr>
            <a:t>Admin</a:t>
          </a:r>
        </a:p>
      </xdr:txBody>
    </xdr:sp>
    <xdr:clientData/>
  </xdr:twoCellAnchor>
  <xdr:twoCellAnchor editAs="oneCell">
    <xdr:from>
      <xdr:col>2</xdr:col>
      <xdr:colOff>381000</xdr:colOff>
      <xdr:row>9</xdr:row>
      <xdr:rowOff>0</xdr:rowOff>
    </xdr:from>
    <xdr:to>
      <xdr:col>12</xdr:col>
      <xdr:colOff>193042</xdr:colOff>
      <xdr:row>9</xdr:row>
      <xdr:rowOff>139186</xdr:rowOff>
    </xdr:to>
    <xdr:pic>
      <xdr:nvPicPr>
        <xdr:cNvPr id="24" name="Picture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4"/>
        <a:stretch>
          <a:fillRect/>
        </a:stretch>
      </xdr:blipFill>
      <xdr:spPr>
        <a:xfrm flipV="1">
          <a:off x="571500" y="1893094"/>
          <a:ext cx="2562386" cy="139186"/>
        </a:xfrm>
        <a:prstGeom prst="rect">
          <a:avLst/>
        </a:prstGeom>
      </xdr:spPr>
    </xdr:pic>
    <xdr:clientData/>
  </xdr:twoCellAnchor>
  <xdr:twoCellAnchor editAs="oneCell">
    <xdr:from>
      <xdr:col>2</xdr:col>
      <xdr:colOff>390525</xdr:colOff>
      <xdr:row>12</xdr:row>
      <xdr:rowOff>9525</xdr:rowOff>
    </xdr:from>
    <xdr:to>
      <xdr:col>12</xdr:col>
      <xdr:colOff>193042</xdr:colOff>
      <xdr:row>12</xdr:row>
      <xdr:rowOff>148711</xdr:rowOff>
    </xdr:to>
    <xdr:pic>
      <xdr:nvPicPr>
        <xdr:cNvPr id="25" name="Picture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4"/>
        <a:stretch>
          <a:fillRect/>
        </a:stretch>
      </xdr:blipFill>
      <xdr:spPr>
        <a:xfrm flipV="1">
          <a:off x="581025" y="2474119"/>
          <a:ext cx="2562386" cy="139186"/>
        </a:xfrm>
        <a:prstGeom prst="rect">
          <a:avLst/>
        </a:prstGeom>
      </xdr:spPr>
    </xdr:pic>
    <xdr:clientData/>
  </xdr:twoCellAnchor>
  <xdr:twoCellAnchor editAs="oneCell">
    <xdr:from>
      <xdr:col>22</xdr:col>
      <xdr:colOff>397656</xdr:colOff>
      <xdr:row>18</xdr:row>
      <xdr:rowOff>13447</xdr:rowOff>
    </xdr:from>
    <xdr:to>
      <xdr:col>22</xdr:col>
      <xdr:colOff>568033</xdr:colOff>
      <xdr:row>18</xdr:row>
      <xdr:rowOff>163932</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5"/>
        <a:stretch>
          <a:fillRect/>
        </a:stretch>
      </xdr:blipFill>
      <xdr:spPr>
        <a:xfrm flipV="1">
          <a:off x="8998731" y="3804397"/>
          <a:ext cx="170377" cy="150485"/>
        </a:xfrm>
        <a:prstGeom prst="rect">
          <a:avLst/>
        </a:prstGeom>
      </xdr:spPr>
    </xdr:pic>
    <xdr:clientData/>
  </xdr:twoCellAnchor>
  <xdr:twoCellAnchor editAs="oneCell">
    <xdr:from>
      <xdr:col>22</xdr:col>
      <xdr:colOff>397200</xdr:colOff>
      <xdr:row>19</xdr:row>
      <xdr:rowOff>12078</xdr:rowOff>
    </xdr:from>
    <xdr:to>
      <xdr:col>22</xdr:col>
      <xdr:colOff>583149</xdr:colOff>
      <xdr:row>19</xdr:row>
      <xdr:rowOff>165113</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6"/>
        <a:stretch>
          <a:fillRect/>
        </a:stretch>
      </xdr:blipFill>
      <xdr:spPr>
        <a:xfrm>
          <a:off x="8998275" y="3993528"/>
          <a:ext cx="185949" cy="153035"/>
        </a:xfrm>
        <a:prstGeom prst="rect">
          <a:avLst/>
        </a:prstGeom>
      </xdr:spPr>
    </xdr:pic>
    <xdr:clientData/>
  </xdr:twoCellAnchor>
  <xdr:twoCellAnchor>
    <xdr:from>
      <xdr:col>22</xdr:col>
      <xdr:colOff>3176587</xdr:colOff>
      <xdr:row>161</xdr:row>
      <xdr:rowOff>128587</xdr:rowOff>
    </xdr:from>
    <xdr:to>
      <xdr:col>23</xdr:col>
      <xdr:colOff>601408</xdr:colOff>
      <xdr:row>163</xdr:row>
      <xdr:rowOff>448913</xdr:rowOff>
    </xdr:to>
    <xdr:sp macro="" textlink="">
      <xdr:nvSpPr>
        <xdr:cNvPr id="23" name="Left Arrow 22">
          <a:hlinkClick xmlns:r="http://schemas.openxmlformats.org/officeDocument/2006/relationships" r:id="rId7"/>
          <a:extLst>
            <a:ext uri="{FF2B5EF4-FFF2-40B4-BE49-F238E27FC236}">
              <a16:creationId xmlns:a16="http://schemas.microsoft.com/office/drawing/2014/main" id="{00000000-0008-0000-0600-000017000000}"/>
            </a:ext>
          </a:extLst>
        </xdr:cNvPr>
        <xdr:cNvSpPr/>
      </xdr:nvSpPr>
      <xdr:spPr>
        <a:xfrm>
          <a:off x="17254537" y="51896962"/>
          <a:ext cx="996696" cy="444151"/>
        </a:xfrm>
        <a:prstGeom prst="leftArrow">
          <a:avLst/>
        </a:prstGeom>
        <a:solidFill>
          <a:schemeClr val="accent5">
            <a:lumMod val="60000"/>
            <a:lumOff val="40000"/>
          </a:schemeClr>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b="1"/>
            <a:t>BACK</a:t>
          </a:r>
        </a:p>
      </xdr:txBody>
    </xdr:sp>
    <xdr:clientData/>
  </xdr:twoCellAnchor>
  <xdr:twoCellAnchor>
    <xdr:from>
      <xdr:col>35</xdr:col>
      <xdr:colOff>603371</xdr:colOff>
      <xdr:row>66</xdr:row>
      <xdr:rowOff>148755</xdr:rowOff>
    </xdr:from>
    <xdr:to>
      <xdr:col>37</xdr:col>
      <xdr:colOff>7952</xdr:colOff>
      <xdr:row>68</xdr:row>
      <xdr:rowOff>130972</xdr:rowOff>
    </xdr:to>
    <xdr:sp macro="" textlink="">
      <xdr:nvSpPr>
        <xdr:cNvPr id="29" name="Left Arrow 28">
          <a:hlinkClick xmlns:r="http://schemas.openxmlformats.org/officeDocument/2006/relationships" r:id="rId8"/>
          <a:extLst>
            <a:ext uri="{FF2B5EF4-FFF2-40B4-BE49-F238E27FC236}">
              <a16:creationId xmlns:a16="http://schemas.microsoft.com/office/drawing/2014/main" id="{00000000-0008-0000-0600-00001D000000}"/>
            </a:ext>
          </a:extLst>
        </xdr:cNvPr>
        <xdr:cNvSpPr/>
      </xdr:nvSpPr>
      <xdr:spPr>
        <a:xfrm>
          <a:off x="18034121" y="12543161"/>
          <a:ext cx="619019" cy="470374"/>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editAs="oneCell">
    <xdr:from>
      <xdr:col>22</xdr:col>
      <xdr:colOff>400774</xdr:colOff>
      <xdr:row>20</xdr:row>
      <xdr:rowOff>5154</xdr:rowOff>
    </xdr:from>
    <xdr:to>
      <xdr:col>22</xdr:col>
      <xdr:colOff>580287</xdr:colOff>
      <xdr:row>20</xdr:row>
      <xdr:rowOff>164060</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9"/>
        <a:stretch>
          <a:fillRect/>
        </a:stretch>
      </xdr:blipFill>
      <xdr:spPr>
        <a:xfrm>
          <a:off x="8992324" y="4373954"/>
          <a:ext cx="179513" cy="158906"/>
        </a:xfrm>
        <a:prstGeom prst="rect">
          <a:avLst/>
        </a:prstGeom>
      </xdr:spPr>
    </xdr:pic>
    <xdr:clientData/>
  </xdr:twoCellAnchor>
  <xdr:twoCellAnchor editAs="oneCell">
    <xdr:from>
      <xdr:col>22</xdr:col>
      <xdr:colOff>404809</xdr:colOff>
      <xdr:row>21</xdr:row>
      <xdr:rowOff>0</xdr:rowOff>
    </xdr:from>
    <xdr:to>
      <xdr:col>22</xdr:col>
      <xdr:colOff>575186</xdr:colOff>
      <xdr:row>21</xdr:row>
      <xdr:rowOff>150485</xdr:rowOff>
    </xdr:to>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5"/>
        <a:stretch>
          <a:fillRect/>
        </a:stretch>
      </xdr:blipFill>
      <xdr:spPr>
        <a:xfrm flipV="1">
          <a:off x="8996359" y="4559300"/>
          <a:ext cx="170377" cy="150485"/>
        </a:xfrm>
        <a:prstGeom prst="rect">
          <a:avLst/>
        </a:prstGeom>
      </xdr:spPr>
    </xdr:pic>
    <xdr:clientData/>
  </xdr:twoCellAnchor>
  <xdr:twoCellAnchor editAs="oneCell">
    <xdr:from>
      <xdr:col>22</xdr:col>
      <xdr:colOff>392910</xdr:colOff>
      <xdr:row>22</xdr:row>
      <xdr:rowOff>0</xdr:rowOff>
    </xdr:from>
    <xdr:to>
      <xdr:col>22</xdr:col>
      <xdr:colOff>578859</xdr:colOff>
      <xdr:row>22</xdr:row>
      <xdr:rowOff>153035</xdr:rowOff>
    </xdr:to>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6"/>
        <a:stretch>
          <a:fillRect/>
        </a:stretch>
      </xdr:blipFill>
      <xdr:spPr>
        <a:xfrm>
          <a:off x="8984460" y="4749800"/>
          <a:ext cx="185949" cy="153035"/>
        </a:xfrm>
        <a:prstGeom prst="rect">
          <a:avLst/>
        </a:prstGeom>
      </xdr:spPr>
    </xdr:pic>
    <xdr:clientData/>
  </xdr:twoCellAnchor>
  <xdr:twoCellAnchor>
    <xdr:from>
      <xdr:col>36</xdr:col>
      <xdr:colOff>0</xdr:colOff>
      <xdr:row>69</xdr:row>
      <xdr:rowOff>0</xdr:rowOff>
    </xdr:from>
    <xdr:to>
      <xdr:col>37</xdr:col>
      <xdr:colOff>20875</xdr:colOff>
      <xdr:row>71</xdr:row>
      <xdr:rowOff>174724</xdr:rowOff>
    </xdr:to>
    <xdr:sp macro="" textlink="">
      <xdr:nvSpPr>
        <xdr:cNvPr id="15" name="Left Arrow 14">
          <a:hlinkClick xmlns:r="http://schemas.openxmlformats.org/officeDocument/2006/relationships" r:id="rId10"/>
          <a:extLst>
            <a:ext uri="{FF2B5EF4-FFF2-40B4-BE49-F238E27FC236}">
              <a16:creationId xmlns:a16="http://schemas.microsoft.com/office/drawing/2014/main" id="{00000000-0008-0000-0600-00000F000000}"/>
            </a:ext>
          </a:extLst>
        </xdr:cNvPr>
        <xdr:cNvSpPr/>
      </xdr:nvSpPr>
      <xdr:spPr>
        <a:xfrm>
          <a:off x="18430875" y="15978188"/>
          <a:ext cx="628094" cy="555724"/>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214312</xdr:colOff>
      <xdr:row>0</xdr:row>
      <xdr:rowOff>0</xdr:rowOff>
    </xdr:from>
    <xdr:to>
      <xdr:col>29</xdr:col>
      <xdr:colOff>59531</xdr:colOff>
      <xdr:row>0</xdr:row>
      <xdr:rowOff>333375</xdr:rowOff>
    </xdr:to>
    <xdr:sp macro="" textlink="Dashboard">
      <xdr:nvSpPr>
        <xdr:cNvPr id="14" name="Chevron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10632281" y="0"/>
          <a:ext cx="1666875" cy="333375"/>
        </a:xfrm>
        <a:prstGeom prst="chevron">
          <a:avLst/>
        </a:prstGeom>
        <a:solidFill>
          <a:srgbClr val="00B0F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D8F0B014-DA56-4065-B0BB-D588526DB30F}" type="TxLink">
            <a:rPr lang="en-US" sz="2000" b="1" i="0" u="none" strike="noStrike">
              <a:solidFill>
                <a:schemeClr val="bg1"/>
              </a:solidFill>
              <a:latin typeface="Calibri"/>
            </a:rPr>
            <a:pPr algn="ctr"/>
            <a:t>Dashboard</a:t>
          </a:fld>
          <a:endParaRPr lang="en-IN" sz="2000" b="1">
            <a:solidFill>
              <a:schemeClr val="bg1"/>
            </a:solidFill>
          </a:endParaRPr>
        </a:p>
      </xdr:txBody>
    </xdr:sp>
    <xdr:clientData/>
  </xdr:twoCellAnchor>
  <xdr:twoCellAnchor>
    <xdr:from>
      <xdr:col>52</xdr:col>
      <xdr:colOff>595312</xdr:colOff>
      <xdr:row>48</xdr:row>
      <xdr:rowOff>159544</xdr:rowOff>
    </xdr:from>
    <xdr:to>
      <xdr:col>53</xdr:col>
      <xdr:colOff>592816</xdr:colOff>
      <xdr:row>50</xdr:row>
      <xdr:rowOff>107156</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0700-00000A000000}"/>
            </a:ext>
          </a:extLst>
        </xdr:cNvPr>
        <xdr:cNvSpPr/>
      </xdr:nvSpPr>
      <xdr:spPr>
        <a:xfrm>
          <a:off x="30432375" y="9291638"/>
          <a:ext cx="604722" cy="400049"/>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BACK</a:t>
          </a:r>
        </a:p>
      </xdr:txBody>
    </xdr:sp>
    <xdr:clientData/>
  </xdr:twoCellAnchor>
  <xdr:twoCellAnchor>
    <xdr:from>
      <xdr:col>11</xdr:col>
      <xdr:colOff>206375</xdr:colOff>
      <xdr:row>4</xdr:row>
      <xdr:rowOff>147977</xdr:rowOff>
    </xdr:from>
    <xdr:to>
      <xdr:col>19</xdr:col>
      <xdr:colOff>575470</xdr:colOff>
      <xdr:row>31</xdr:row>
      <xdr:rowOff>154214</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23812</xdr:colOff>
      <xdr:row>10</xdr:row>
      <xdr:rowOff>0</xdr:rowOff>
    </xdr:from>
    <xdr:to>
      <xdr:col>12</xdr:col>
      <xdr:colOff>228760</xdr:colOff>
      <xdr:row>10</xdr:row>
      <xdr:rowOff>139186</xdr:rowOff>
    </xdr:to>
    <xdr:pic>
      <xdr:nvPicPr>
        <xdr:cNvPr id="22" name="Picture 2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4"/>
        <a:stretch>
          <a:fillRect/>
        </a:stretch>
      </xdr:blipFill>
      <xdr:spPr>
        <a:xfrm flipV="1">
          <a:off x="563562" y="2547938"/>
          <a:ext cx="2705262" cy="139186"/>
        </a:xfrm>
        <a:prstGeom prst="rect">
          <a:avLst/>
        </a:prstGeom>
      </xdr:spPr>
    </xdr:pic>
    <xdr:clientData/>
  </xdr:twoCellAnchor>
  <xdr:twoCellAnchor editAs="oneCell">
    <xdr:from>
      <xdr:col>3</xdr:col>
      <xdr:colOff>21430</xdr:colOff>
      <xdr:row>13</xdr:row>
      <xdr:rowOff>57149</xdr:rowOff>
    </xdr:from>
    <xdr:to>
      <xdr:col>12</xdr:col>
      <xdr:colOff>226378</xdr:colOff>
      <xdr:row>14</xdr:row>
      <xdr:rowOff>5835</xdr:rowOff>
    </xdr:to>
    <xdr:pic>
      <xdr:nvPicPr>
        <xdr:cNvPr id="23" name="Picture 2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4"/>
        <a:stretch>
          <a:fillRect/>
        </a:stretch>
      </xdr:blipFill>
      <xdr:spPr>
        <a:xfrm flipV="1">
          <a:off x="533399" y="2938462"/>
          <a:ext cx="2562386" cy="139186"/>
        </a:xfrm>
        <a:prstGeom prst="rect">
          <a:avLst/>
        </a:prstGeom>
      </xdr:spPr>
    </xdr:pic>
    <xdr:clientData/>
  </xdr:twoCellAnchor>
  <xdr:twoCellAnchor editAs="oneCell">
    <xdr:from>
      <xdr:col>22</xdr:col>
      <xdr:colOff>397656</xdr:colOff>
      <xdr:row>16</xdr:row>
      <xdr:rowOff>13447</xdr:rowOff>
    </xdr:from>
    <xdr:to>
      <xdr:col>22</xdr:col>
      <xdr:colOff>568033</xdr:colOff>
      <xdr:row>16</xdr:row>
      <xdr:rowOff>163932</xdr:rowOff>
    </xdr:to>
    <xdr:pic>
      <xdr:nvPicPr>
        <xdr:cNvPr id="20" name="Picture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5"/>
        <a:stretch>
          <a:fillRect/>
        </a:stretch>
      </xdr:blipFill>
      <xdr:spPr>
        <a:xfrm flipV="1">
          <a:off x="8998731" y="3804397"/>
          <a:ext cx="170377" cy="150485"/>
        </a:xfrm>
        <a:prstGeom prst="rect">
          <a:avLst/>
        </a:prstGeom>
      </xdr:spPr>
    </xdr:pic>
    <xdr:clientData/>
  </xdr:twoCellAnchor>
  <xdr:twoCellAnchor editAs="oneCell">
    <xdr:from>
      <xdr:col>22</xdr:col>
      <xdr:colOff>397200</xdr:colOff>
      <xdr:row>17</xdr:row>
      <xdr:rowOff>12078</xdr:rowOff>
    </xdr:from>
    <xdr:to>
      <xdr:col>22</xdr:col>
      <xdr:colOff>583149</xdr:colOff>
      <xdr:row>17</xdr:row>
      <xdr:rowOff>165113</xdr:rowOff>
    </xdr:to>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6"/>
        <a:stretch>
          <a:fillRect/>
        </a:stretch>
      </xdr:blipFill>
      <xdr:spPr>
        <a:xfrm>
          <a:off x="8998275" y="3993528"/>
          <a:ext cx="185949" cy="153035"/>
        </a:xfrm>
        <a:prstGeom prst="rect">
          <a:avLst/>
        </a:prstGeom>
      </xdr:spPr>
    </xdr:pic>
    <xdr:clientData/>
  </xdr:twoCellAnchor>
  <xdr:twoCellAnchor>
    <xdr:from>
      <xdr:col>52</xdr:col>
      <xdr:colOff>538370</xdr:colOff>
      <xdr:row>50</xdr:row>
      <xdr:rowOff>3929754</xdr:rowOff>
    </xdr:from>
    <xdr:to>
      <xdr:col>53</xdr:col>
      <xdr:colOff>569833</xdr:colOff>
      <xdr:row>52</xdr:row>
      <xdr:rowOff>55217</xdr:rowOff>
    </xdr:to>
    <xdr:sp macro="" textlink="">
      <xdr:nvSpPr>
        <xdr:cNvPr id="13" name="Left Arrow 12">
          <a:hlinkClick xmlns:r="http://schemas.openxmlformats.org/officeDocument/2006/relationships" r:id="rId7"/>
          <a:extLst>
            <a:ext uri="{FF2B5EF4-FFF2-40B4-BE49-F238E27FC236}">
              <a16:creationId xmlns:a16="http://schemas.microsoft.com/office/drawing/2014/main" id="{00000000-0008-0000-0700-00000D000000}"/>
            </a:ext>
          </a:extLst>
        </xdr:cNvPr>
        <xdr:cNvSpPr/>
      </xdr:nvSpPr>
      <xdr:spPr>
        <a:xfrm>
          <a:off x="30397174" y="13344319"/>
          <a:ext cx="638855" cy="432420"/>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t>BACK</a:t>
          </a:r>
        </a:p>
      </xdr:txBody>
    </xdr:sp>
    <xdr:clientData/>
  </xdr:twoCellAnchor>
  <xdr:twoCellAnchor editAs="oneCell">
    <xdr:from>
      <xdr:col>22</xdr:col>
      <xdr:colOff>400774</xdr:colOff>
      <xdr:row>18</xdr:row>
      <xdr:rowOff>5154</xdr:rowOff>
    </xdr:from>
    <xdr:to>
      <xdr:col>22</xdr:col>
      <xdr:colOff>580287</xdr:colOff>
      <xdr:row>18</xdr:row>
      <xdr:rowOff>164060</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8"/>
        <a:stretch>
          <a:fillRect/>
        </a:stretch>
      </xdr:blipFill>
      <xdr:spPr>
        <a:xfrm>
          <a:off x="8801824" y="4024704"/>
          <a:ext cx="179513" cy="158906"/>
        </a:xfrm>
        <a:prstGeom prst="rect">
          <a:avLst/>
        </a:prstGeom>
      </xdr:spPr>
    </xdr:pic>
    <xdr:clientData/>
  </xdr:twoCellAnchor>
  <xdr:twoCellAnchor editAs="oneCell">
    <xdr:from>
      <xdr:col>22</xdr:col>
      <xdr:colOff>404809</xdr:colOff>
      <xdr:row>19</xdr:row>
      <xdr:rowOff>0</xdr:rowOff>
    </xdr:from>
    <xdr:to>
      <xdr:col>22</xdr:col>
      <xdr:colOff>575186</xdr:colOff>
      <xdr:row>19</xdr:row>
      <xdr:rowOff>150485</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a:stretch>
          <a:fillRect/>
        </a:stretch>
      </xdr:blipFill>
      <xdr:spPr>
        <a:xfrm flipV="1">
          <a:off x="8805859" y="4216400"/>
          <a:ext cx="170377" cy="150485"/>
        </a:xfrm>
        <a:prstGeom prst="rect">
          <a:avLst/>
        </a:prstGeom>
      </xdr:spPr>
    </xdr:pic>
    <xdr:clientData/>
  </xdr:twoCellAnchor>
  <xdr:twoCellAnchor editAs="oneCell">
    <xdr:from>
      <xdr:col>22</xdr:col>
      <xdr:colOff>392910</xdr:colOff>
      <xdr:row>20</xdr:row>
      <xdr:rowOff>0</xdr:rowOff>
    </xdr:from>
    <xdr:to>
      <xdr:col>22</xdr:col>
      <xdr:colOff>578859</xdr:colOff>
      <xdr:row>20</xdr:row>
      <xdr:rowOff>153035</xdr:rowOff>
    </xdr:to>
    <xdr:pic>
      <xdr:nvPicPr>
        <xdr:cNvPr id="16" name="Picture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6"/>
        <a:stretch>
          <a:fillRect/>
        </a:stretch>
      </xdr:blipFill>
      <xdr:spPr>
        <a:xfrm>
          <a:off x="8793960" y="4406900"/>
          <a:ext cx="185949" cy="1530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41</xdr:col>
      <xdr:colOff>2379</xdr:colOff>
      <xdr:row>60</xdr:row>
      <xdr:rowOff>178588</xdr:rowOff>
    </xdr:from>
    <xdr:to>
      <xdr:col>42</xdr:col>
      <xdr:colOff>11909</xdr:colOff>
      <xdr:row>62</xdr:row>
      <xdr:rowOff>130965</xdr:rowOff>
    </xdr:to>
    <xdr:sp macro="" textlink="">
      <xdr:nvSpPr>
        <xdr:cNvPr id="12" name="Left Arrow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23433879" y="12442026"/>
          <a:ext cx="616749" cy="404814"/>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BACK</a:t>
          </a:r>
        </a:p>
      </xdr:txBody>
    </xdr:sp>
    <xdr:clientData/>
  </xdr:twoCellAnchor>
  <xdr:twoCellAnchor>
    <xdr:from>
      <xdr:col>13</xdr:col>
      <xdr:colOff>293689</xdr:colOff>
      <xdr:row>6</xdr:row>
      <xdr:rowOff>134938</xdr:rowOff>
    </xdr:from>
    <xdr:to>
      <xdr:col>21</xdr:col>
      <xdr:colOff>301626</xdr:colOff>
      <xdr:row>26</xdr:row>
      <xdr:rowOff>31751</xdr:rowOff>
    </xdr:to>
    <xdr:graphicFrame macro="">
      <xdr:nvGraphicFramePr>
        <xdr:cNvPr id="20" name="Chart 19">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7938</xdr:colOff>
      <xdr:row>9</xdr:row>
      <xdr:rowOff>181769</xdr:rowOff>
    </xdr:from>
    <xdr:to>
      <xdr:col>12</xdr:col>
      <xdr:colOff>228763</xdr:colOff>
      <xdr:row>10</xdr:row>
      <xdr:rowOff>136805</xdr:rowOff>
    </xdr:to>
    <xdr:pic>
      <xdr:nvPicPr>
        <xdr:cNvPr id="29" name="Picture 28">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3"/>
        <a:stretch>
          <a:fillRect/>
        </a:stretch>
      </xdr:blipFill>
      <xdr:spPr>
        <a:xfrm flipV="1">
          <a:off x="547688" y="2055019"/>
          <a:ext cx="2721139" cy="137599"/>
        </a:xfrm>
        <a:prstGeom prst="rect">
          <a:avLst/>
        </a:prstGeom>
      </xdr:spPr>
    </xdr:pic>
    <xdr:clientData/>
  </xdr:twoCellAnchor>
  <xdr:twoCellAnchor editAs="oneCell">
    <xdr:from>
      <xdr:col>2</xdr:col>
      <xdr:colOff>5555</xdr:colOff>
      <xdr:row>13</xdr:row>
      <xdr:rowOff>45244</xdr:rowOff>
    </xdr:from>
    <xdr:to>
      <xdr:col>12</xdr:col>
      <xdr:colOff>210503</xdr:colOff>
      <xdr:row>13</xdr:row>
      <xdr:rowOff>184430</xdr:rowOff>
    </xdr:to>
    <xdr:pic>
      <xdr:nvPicPr>
        <xdr:cNvPr id="30" name="Picture 29">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3"/>
        <a:stretch>
          <a:fillRect/>
        </a:stretch>
      </xdr:blipFill>
      <xdr:spPr>
        <a:xfrm flipV="1">
          <a:off x="545305" y="2672557"/>
          <a:ext cx="2705262" cy="139186"/>
        </a:xfrm>
        <a:prstGeom prst="rect">
          <a:avLst/>
        </a:prstGeom>
      </xdr:spPr>
    </xdr:pic>
    <xdr:clientData/>
  </xdr:twoCellAnchor>
  <xdr:twoCellAnchor editAs="oneCell">
    <xdr:from>
      <xdr:col>1</xdr:col>
      <xdr:colOff>300833</xdr:colOff>
      <xdr:row>17</xdr:row>
      <xdr:rowOff>7144</xdr:rowOff>
    </xdr:from>
    <xdr:to>
      <xdr:col>12</xdr:col>
      <xdr:colOff>220031</xdr:colOff>
      <xdr:row>17</xdr:row>
      <xdr:rowOff>146330</xdr:rowOff>
    </xdr:to>
    <xdr:pic>
      <xdr:nvPicPr>
        <xdr:cNvPr id="31" name="Picture 30">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3"/>
        <a:stretch>
          <a:fillRect/>
        </a:stretch>
      </xdr:blipFill>
      <xdr:spPr>
        <a:xfrm flipV="1">
          <a:off x="538958" y="3396457"/>
          <a:ext cx="2721137" cy="139186"/>
        </a:xfrm>
        <a:prstGeom prst="rect">
          <a:avLst/>
        </a:prstGeom>
      </xdr:spPr>
    </xdr:pic>
    <xdr:clientData/>
  </xdr:twoCellAnchor>
  <xdr:twoCellAnchor>
    <xdr:from>
      <xdr:col>25</xdr:col>
      <xdr:colOff>273843</xdr:colOff>
      <xdr:row>0</xdr:row>
      <xdr:rowOff>0</xdr:rowOff>
    </xdr:from>
    <xdr:to>
      <xdr:col>28</xdr:col>
      <xdr:colOff>1</xdr:colOff>
      <xdr:row>0</xdr:row>
      <xdr:rowOff>333375</xdr:rowOff>
    </xdr:to>
    <xdr:sp macro="" textlink="Dashboard">
      <xdr:nvSpPr>
        <xdr:cNvPr id="34" name="Chevron 33">
          <a:hlinkClick xmlns:r="http://schemas.openxmlformats.org/officeDocument/2006/relationships" r:id="rId4"/>
          <a:extLst>
            <a:ext uri="{FF2B5EF4-FFF2-40B4-BE49-F238E27FC236}">
              <a16:creationId xmlns:a16="http://schemas.microsoft.com/office/drawing/2014/main" id="{00000000-0008-0000-0800-000022000000}"/>
            </a:ext>
          </a:extLst>
        </xdr:cNvPr>
        <xdr:cNvSpPr/>
      </xdr:nvSpPr>
      <xdr:spPr>
        <a:xfrm>
          <a:off x="11156156" y="0"/>
          <a:ext cx="2012158" cy="333375"/>
        </a:xfrm>
        <a:prstGeom prst="chevron">
          <a:avLst/>
        </a:prstGeom>
        <a:solidFill>
          <a:srgbClr val="00B0F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8C490039-6A68-4048-B678-1EB4E6CBBCA5}" type="TxLink">
            <a:rPr lang="en-US" sz="2000" b="1" i="0" u="none" strike="noStrike">
              <a:solidFill>
                <a:schemeClr val="bg1"/>
              </a:solidFill>
              <a:latin typeface="Calibri"/>
            </a:rPr>
            <a:pPr algn="ctr"/>
            <a:t>Dashboard</a:t>
          </a:fld>
          <a:endParaRPr lang="en-IN" sz="4000" b="1">
            <a:solidFill>
              <a:schemeClr val="bg1"/>
            </a:solidFill>
          </a:endParaRPr>
        </a:p>
      </xdr:txBody>
    </xdr:sp>
    <xdr:clientData/>
  </xdr:twoCellAnchor>
  <xdr:twoCellAnchor editAs="oneCell">
    <xdr:from>
      <xdr:col>22</xdr:col>
      <xdr:colOff>397656</xdr:colOff>
      <xdr:row>19</xdr:row>
      <xdr:rowOff>13447</xdr:rowOff>
    </xdr:from>
    <xdr:to>
      <xdr:col>22</xdr:col>
      <xdr:colOff>568033</xdr:colOff>
      <xdr:row>19</xdr:row>
      <xdr:rowOff>163932</xdr:rowOff>
    </xdr:to>
    <xdr:pic>
      <xdr:nvPicPr>
        <xdr:cNvPr id="13" name="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5"/>
        <a:stretch>
          <a:fillRect/>
        </a:stretch>
      </xdr:blipFill>
      <xdr:spPr>
        <a:xfrm flipV="1">
          <a:off x="8998731" y="3804397"/>
          <a:ext cx="170377" cy="150485"/>
        </a:xfrm>
        <a:prstGeom prst="rect">
          <a:avLst/>
        </a:prstGeom>
      </xdr:spPr>
    </xdr:pic>
    <xdr:clientData/>
  </xdr:twoCellAnchor>
  <xdr:twoCellAnchor editAs="oneCell">
    <xdr:from>
      <xdr:col>22</xdr:col>
      <xdr:colOff>397200</xdr:colOff>
      <xdr:row>20</xdr:row>
      <xdr:rowOff>12078</xdr:rowOff>
    </xdr:from>
    <xdr:to>
      <xdr:col>22</xdr:col>
      <xdr:colOff>583149</xdr:colOff>
      <xdr:row>20</xdr:row>
      <xdr:rowOff>165113</xdr:rowOff>
    </xdr:to>
    <xdr:pic>
      <xdr:nvPicPr>
        <xdr:cNvPr id="14" name="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a:stretch>
          <a:fillRect/>
        </a:stretch>
      </xdr:blipFill>
      <xdr:spPr>
        <a:xfrm>
          <a:off x="8998275" y="3993528"/>
          <a:ext cx="185949" cy="153035"/>
        </a:xfrm>
        <a:prstGeom prst="rect">
          <a:avLst/>
        </a:prstGeom>
      </xdr:spPr>
    </xdr:pic>
    <xdr:clientData/>
  </xdr:twoCellAnchor>
  <xdr:twoCellAnchor>
    <xdr:from>
      <xdr:col>40</xdr:col>
      <xdr:colOff>595313</xdr:colOff>
      <xdr:row>62</xdr:row>
      <xdr:rowOff>1116803</xdr:rowOff>
    </xdr:from>
    <xdr:to>
      <xdr:col>41</xdr:col>
      <xdr:colOff>604843</xdr:colOff>
      <xdr:row>64</xdr:row>
      <xdr:rowOff>108510</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800-00000F000000}"/>
            </a:ext>
          </a:extLst>
        </xdr:cNvPr>
        <xdr:cNvSpPr/>
      </xdr:nvSpPr>
      <xdr:spPr>
        <a:xfrm>
          <a:off x="23419594" y="13832678"/>
          <a:ext cx="616749" cy="408551"/>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BACK</a:t>
          </a:r>
        </a:p>
      </xdr:txBody>
    </xdr:sp>
    <xdr:clientData/>
  </xdr:twoCellAnchor>
  <xdr:twoCellAnchor>
    <xdr:from>
      <xdr:col>40</xdr:col>
      <xdr:colOff>592931</xdr:colOff>
      <xdr:row>64</xdr:row>
      <xdr:rowOff>964406</xdr:rowOff>
    </xdr:from>
    <xdr:to>
      <xdr:col>41</xdr:col>
      <xdr:colOff>602461</xdr:colOff>
      <xdr:row>66</xdr:row>
      <xdr:rowOff>119062</xdr:rowOff>
    </xdr:to>
    <xdr:sp macro="" textlink="">
      <xdr:nvSpPr>
        <xdr:cNvPr id="16" name="Left Arrow 15">
          <a:hlinkClick xmlns:r="http://schemas.openxmlformats.org/officeDocument/2006/relationships" r:id="rId7"/>
          <a:extLst>
            <a:ext uri="{FF2B5EF4-FFF2-40B4-BE49-F238E27FC236}">
              <a16:creationId xmlns:a16="http://schemas.microsoft.com/office/drawing/2014/main" id="{00000000-0008-0000-0800-000010000000}"/>
            </a:ext>
          </a:extLst>
        </xdr:cNvPr>
        <xdr:cNvSpPr/>
      </xdr:nvSpPr>
      <xdr:spPr>
        <a:xfrm>
          <a:off x="23417212" y="15097125"/>
          <a:ext cx="616749" cy="440531"/>
        </a:xfrm>
        <a:prstGeom prst="leftArrow">
          <a:avLst/>
        </a:prstGeom>
        <a:solidFill>
          <a:schemeClr val="accent5">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t>BACK</a:t>
          </a:r>
        </a:p>
      </xdr:txBody>
    </xdr:sp>
    <xdr:clientData/>
  </xdr:twoCellAnchor>
  <xdr:twoCellAnchor editAs="oneCell">
    <xdr:from>
      <xdr:col>22</xdr:col>
      <xdr:colOff>400774</xdr:colOff>
      <xdr:row>21</xdr:row>
      <xdr:rowOff>5154</xdr:rowOff>
    </xdr:from>
    <xdr:to>
      <xdr:col>22</xdr:col>
      <xdr:colOff>580287</xdr:colOff>
      <xdr:row>21</xdr:row>
      <xdr:rowOff>164060</xdr:rowOff>
    </xdr:to>
    <xdr:pic>
      <xdr:nvPicPr>
        <xdr:cNvPr id="21" name="Picture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8"/>
        <a:stretch>
          <a:fillRect/>
        </a:stretch>
      </xdr:blipFill>
      <xdr:spPr>
        <a:xfrm>
          <a:off x="9265374" y="4183454"/>
          <a:ext cx="179513" cy="158906"/>
        </a:xfrm>
        <a:prstGeom prst="rect">
          <a:avLst/>
        </a:prstGeom>
      </xdr:spPr>
    </xdr:pic>
    <xdr:clientData/>
  </xdr:twoCellAnchor>
  <xdr:twoCellAnchor editAs="oneCell">
    <xdr:from>
      <xdr:col>22</xdr:col>
      <xdr:colOff>404809</xdr:colOff>
      <xdr:row>22</xdr:row>
      <xdr:rowOff>0</xdr:rowOff>
    </xdr:from>
    <xdr:to>
      <xdr:col>22</xdr:col>
      <xdr:colOff>575186</xdr:colOff>
      <xdr:row>22</xdr:row>
      <xdr:rowOff>150485</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5"/>
        <a:stretch>
          <a:fillRect/>
        </a:stretch>
      </xdr:blipFill>
      <xdr:spPr>
        <a:xfrm flipV="1">
          <a:off x="9269409" y="4368800"/>
          <a:ext cx="170377" cy="150485"/>
        </a:xfrm>
        <a:prstGeom prst="rect">
          <a:avLst/>
        </a:prstGeom>
      </xdr:spPr>
    </xdr:pic>
    <xdr:clientData/>
  </xdr:twoCellAnchor>
  <xdr:twoCellAnchor editAs="oneCell">
    <xdr:from>
      <xdr:col>22</xdr:col>
      <xdr:colOff>392910</xdr:colOff>
      <xdr:row>23</xdr:row>
      <xdr:rowOff>0</xdr:rowOff>
    </xdr:from>
    <xdr:to>
      <xdr:col>22</xdr:col>
      <xdr:colOff>578859</xdr:colOff>
      <xdr:row>23</xdr:row>
      <xdr:rowOff>153035</xdr:rowOff>
    </xdr:to>
    <xdr:pic>
      <xdr:nvPicPr>
        <xdr:cNvPr id="23" name="Picture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6"/>
        <a:stretch>
          <a:fillRect/>
        </a:stretch>
      </xdr:blipFill>
      <xdr:spPr>
        <a:xfrm>
          <a:off x="9257510" y="4559300"/>
          <a:ext cx="185949" cy="1530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77934</xdr:colOff>
      <xdr:row>8</xdr:row>
      <xdr:rowOff>40410</xdr:rowOff>
    </xdr:from>
    <xdr:to>
      <xdr:col>14</xdr:col>
      <xdr:colOff>443059</xdr:colOff>
      <xdr:row>49</xdr:row>
      <xdr:rowOff>40410</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61732</xdr:colOff>
      <xdr:row>21</xdr:row>
      <xdr:rowOff>50717</xdr:rowOff>
    </xdr:from>
    <xdr:to>
      <xdr:col>10</xdr:col>
      <xdr:colOff>64323</xdr:colOff>
      <xdr:row>23</xdr:row>
      <xdr:rowOff>126917</xdr:rowOff>
    </xdr:to>
    <xdr:sp macro="" textlink="'Data Analysis'!L208">
      <xdr:nvSpPr>
        <xdr:cNvPr id="8" name="Rounded Rectangle 7">
          <a:extLst>
            <a:ext uri="{FF2B5EF4-FFF2-40B4-BE49-F238E27FC236}">
              <a16:creationId xmlns:a16="http://schemas.microsoft.com/office/drawing/2014/main" id="{00000000-0008-0000-0A00-000008000000}"/>
            </a:ext>
          </a:extLst>
        </xdr:cNvPr>
        <xdr:cNvSpPr/>
      </xdr:nvSpPr>
      <xdr:spPr>
        <a:xfrm>
          <a:off x="776107" y="3320967"/>
          <a:ext cx="1891716" cy="457200"/>
        </a:xfrm>
        <a:prstGeom prst="roundRect">
          <a:avLst/>
        </a:prstGeom>
        <a:solidFill>
          <a:schemeClr val="bg2"/>
        </a:solidFill>
        <a:ln>
          <a:no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6A5886A1-72A4-4BCA-A419-AF52CC05E159}" type="TxLink">
            <a:rPr lang="en-US" sz="1400" b="1" i="0" u="none" strike="noStrike">
              <a:solidFill>
                <a:sysClr val="windowText" lastClr="000000"/>
              </a:solidFill>
              <a:latin typeface="Calibri"/>
            </a:rPr>
            <a:pPr algn="ctr"/>
            <a:t>Very Strong</a:t>
          </a:fld>
          <a:endParaRPr lang="en-IN" sz="1400" b="1">
            <a:solidFill>
              <a:sysClr val="windowText" lastClr="000000"/>
            </a:solidFill>
          </a:endParaRPr>
        </a:p>
      </xdr:txBody>
    </xdr:sp>
    <xdr:clientData/>
  </xdr:twoCellAnchor>
  <xdr:twoCellAnchor>
    <xdr:from>
      <xdr:col>10</xdr:col>
      <xdr:colOff>166994</xdr:colOff>
      <xdr:row>21</xdr:row>
      <xdr:rowOff>50717</xdr:rowOff>
    </xdr:from>
    <xdr:to>
      <xdr:col>13</xdr:col>
      <xdr:colOff>178542</xdr:colOff>
      <xdr:row>23</xdr:row>
      <xdr:rowOff>126917</xdr:rowOff>
    </xdr:to>
    <xdr:sp macro="" textlink="'Data Analysis'!F204">
      <xdr:nvSpPr>
        <xdr:cNvPr id="10" name="Rounded Rectangle 9">
          <a:extLst>
            <a:ext uri="{FF2B5EF4-FFF2-40B4-BE49-F238E27FC236}">
              <a16:creationId xmlns:a16="http://schemas.microsoft.com/office/drawing/2014/main" id="{00000000-0008-0000-0A00-00000A000000}"/>
            </a:ext>
          </a:extLst>
        </xdr:cNvPr>
        <xdr:cNvSpPr/>
      </xdr:nvSpPr>
      <xdr:spPr>
        <a:xfrm>
          <a:off x="2770494" y="3320967"/>
          <a:ext cx="1059298" cy="457200"/>
        </a:xfrm>
        <a:prstGeom prst="roundRect">
          <a:avLst/>
        </a:prstGeom>
        <a:solidFill>
          <a:schemeClr val="bg2"/>
        </a:solidFill>
        <a:ln>
          <a:noFill/>
        </a:ln>
        <a:effectLst>
          <a:outerShdw blurRad="50800" dist="38100" dir="8100000" algn="tr" rotWithShape="0">
            <a:prstClr val="black">
              <a:alpha val="40000"/>
            </a:prstClr>
          </a:outerShdw>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fld id="{7CDC18B3-6358-413B-8FFB-2CE2147F7484}" type="TxLink">
            <a:rPr lang="en-US" sz="2000" b="1" i="0" u="none" strike="noStrike">
              <a:solidFill>
                <a:sysClr val="windowText" lastClr="000000"/>
              </a:solidFill>
              <a:latin typeface="Calibri"/>
            </a:rPr>
            <a:pPr algn="ctr"/>
            <a:t> 4.84 </a:t>
          </a:fld>
          <a:endParaRPr lang="en-IN" sz="2000" b="1">
            <a:solidFill>
              <a:sysClr val="windowText" lastClr="000000"/>
            </a:solidFill>
          </a:endParaRPr>
        </a:p>
      </xdr:txBody>
    </xdr:sp>
    <xdr:clientData/>
  </xdr:twoCellAnchor>
  <xdr:twoCellAnchor editAs="oneCell">
    <xdr:from>
      <xdr:col>15</xdr:col>
      <xdr:colOff>400774</xdr:colOff>
      <xdr:row>23</xdr:row>
      <xdr:rowOff>5154</xdr:rowOff>
    </xdr:from>
    <xdr:to>
      <xdr:col>15</xdr:col>
      <xdr:colOff>580287</xdr:colOff>
      <xdr:row>23</xdr:row>
      <xdr:rowOff>164060</xdr:rowOff>
    </xdr:to>
    <xdr:pic>
      <xdr:nvPicPr>
        <xdr:cNvPr id="17" name="Picture 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a:stretch>
          <a:fillRect/>
        </a:stretch>
      </xdr:blipFill>
      <xdr:spPr>
        <a:xfrm>
          <a:off x="4829899" y="3696092"/>
          <a:ext cx="179513" cy="158906"/>
        </a:xfrm>
        <a:prstGeom prst="rect">
          <a:avLst/>
        </a:prstGeom>
      </xdr:spPr>
    </xdr:pic>
    <xdr:clientData/>
  </xdr:twoCellAnchor>
  <xdr:twoCellAnchor editAs="oneCell">
    <xdr:from>
      <xdr:col>15</xdr:col>
      <xdr:colOff>397656</xdr:colOff>
      <xdr:row>21</xdr:row>
      <xdr:rowOff>13447</xdr:rowOff>
    </xdr:from>
    <xdr:to>
      <xdr:col>15</xdr:col>
      <xdr:colOff>568033</xdr:colOff>
      <xdr:row>21</xdr:row>
      <xdr:rowOff>163932</xdr:rowOff>
    </xdr:to>
    <xdr:pic>
      <xdr:nvPicPr>
        <xdr:cNvPr id="18" name="Picture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
        <a:stretch>
          <a:fillRect/>
        </a:stretch>
      </xdr:blipFill>
      <xdr:spPr>
        <a:xfrm flipV="1">
          <a:off x="5296227" y="3265554"/>
          <a:ext cx="170377" cy="150485"/>
        </a:xfrm>
        <a:prstGeom prst="rect">
          <a:avLst/>
        </a:prstGeom>
      </xdr:spPr>
    </xdr:pic>
    <xdr:clientData/>
  </xdr:twoCellAnchor>
  <xdr:twoCellAnchor editAs="oneCell">
    <xdr:from>
      <xdr:col>15</xdr:col>
      <xdr:colOff>397200</xdr:colOff>
      <xdr:row>22</xdr:row>
      <xdr:rowOff>12078</xdr:rowOff>
    </xdr:from>
    <xdr:to>
      <xdr:col>15</xdr:col>
      <xdr:colOff>583149</xdr:colOff>
      <xdr:row>22</xdr:row>
      <xdr:rowOff>165113</xdr:rowOff>
    </xdr:to>
    <xdr:pic>
      <xdr:nvPicPr>
        <xdr:cNvPr id="19" name="Picture 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4"/>
        <a:stretch>
          <a:fillRect/>
        </a:stretch>
      </xdr:blipFill>
      <xdr:spPr>
        <a:xfrm>
          <a:off x="5295771" y="3441078"/>
          <a:ext cx="185949" cy="153035"/>
        </a:xfrm>
        <a:prstGeom prst="rect">
          <a:avLst/>
        </a:prstGeom>
      </xdr:spPr>
    </xdr:pic>
    <xdr:clientData/>
  </xdr:twoCellAnchor>
  <xdr:twoCellAnchor editAs="oneCell">
    <xdr:from>
      <xdr:col>2</xdr:col>
      <xdr:colOff>20634</xdr:colOff>
      <xdr:row>51</xdr:row>
      <xdr:rowOff>219363</xdr:rowOff>
    </xdr:from>
    <xdr:to>
      <xdr:col>11</xdr:col>
      <xdr:colOff>179511</xdr:colOff>
      <xdr:row>52</xdr:row>
      <xdr:rowOff>121136</xdr:rowOff>
    </xdr:to>
    <xdr:pic>
      <xdr:nvPicPr>
        <xdr:cNvPr id="20" name="Picture 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5"/>
        <a:stretch>
          <a:fillRect/>
        </a:stretch>
      </xdr:blipFill>
      <xdr:spPr>
        <a:xfrm flipV="1">
          <a:off x="465134" y="4918363"/>
          <a:ext cx="2587752" cy="139898"/>
        </a:xfrm>
        <a:prstGeom prst="rect">
          <a:avLst/>
        </a:prstGeom>
      </xdr:spPr>
    </xdr:pic>
    <xdr:clientData/>
  </xdr:twoCellAnchor>
  <xdr:twoCellAnchor editAs="oneCell">
    <xdr:from>
      <xdr:col>13</xdr:col>
      <xdr:colOff>36575</xdr:colOff>
      <xdr:row>52</xdr:row>
      <xdr:rowOff>29283</xdr:rowOff>
    </xdr:from>
    <xdr:to>
      <xdr:col>13</xdr:col>
      <xdr:colOff>197880</xdr:colOff>
      <xdr:row>52</xdr:row>
      <xdr:rowOff>177500</xdr:rowOff>
    </xdr:to>
    <xdr:pic>
      <xdr:nvPicPr>
        <xdr:cNvPr id="22" name="Picture 21">
          <a:extLst>
            <a:ext uri="{FF2B5EF4-FFF2-40B4-BE49-F238E27FC236}">
              <a16:creationId xmlns:a16="http://schemas.microsoft.com/office/drawing/2014/main" id="{00000000-0008-0000-0A00-000016000000}"/>
            </a:ext>
          </a:extLst>
        </xdr:cNvPr>
        <xdr:cNvPicPr>
          <a:picLocks noChangeAspect="1"/>
        </xdr:cNvPicPr>
      </xdr:nvPicPr>
      <xdr:blipFill>
        <a:blip xmlns:r="http://schemas.openxmlformats.org/officeDocument/2006/relationships" r:embed="rId3"/>
        <a:stretch>
          <a:fillRect/>
        </a:stretch>
      </xdr:blipFill>
      <xdr:spPr>
        <a:xfrm flipV="1">
          <a:off x="4532375" y="4658433"/>
          <a:ext cx="161305" cy="148217"/>
        </a:xfrm>
        <a:prstGeom prst="rect">
          <a:avLst/>
        </a:prstGeom>
      </xdr:spPr>
    </xdr:pic>
    <xdr:clientData/>
  </xdr:twoCellAnchor>
  <xdr:twoCellAnchor editAs="oneCell">
    <xdr:from>
      <xdr:col>13</xdr:col>
      <xdr:colOff>41189</xdr:colOff>
      <xdr:row>53</xdr:row>
      <xdr:rowOff>68622</xdr:rowOff>
    </xdr:from>
    <xdr:to>
      <xdr:col>13</xdr:col>
      <xdr:colOff>218066</xdr:colOff>
      <xdr:row>54</xdr:row>
      <xdr:rowOff>26287</xdr:rowOff>
    </xdr:to>
    <xdr:pic>
      <xdr:nvPicPr>
        <xdr:cNvPr id="23" name="Picture 22">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4"/>
        <a:stretch>
          <a:fillRect/>
        </a:stretch>
      </xdr:blipFill>
      <xdr:spPr>
        <a:xfrm>
          <a:off x="3565439" y="5343091"/>
          <a:ext cx="176877" cy="160071"/>
        </a:xfrm>
        <a:prstGeom prst="rect">
          <a:avLst/>
        </a:prstGeom>
      </xdr:spPr>
    </xdr:pic>
    <xdr:clientData/>
  </xdr:twoCellAnchor>
  <xdr:oneCellAnchor>
    <xdr:from>
      <xdr:col>2</xdr:col>
      <xdr:colOff>13346</xdr:colOff>
      <xdr:row>59</xdr:row>
      <xdr:rowOff>44738</xdr:rowOff>
    </xdr:from>
    <xdr:ext cx="2590567" cy="140995"/>
    <xdr:pic>
      <xdr:nvPicPr>
        <xdr:cNvPr id="24" name="Picture 23">
          <a:extLst>
            <a:ext uri="{FF2B5EF4-FFF2-40B4-BE49-F238E27FC236}">
              <a16:creationId xmlns:a16="http://schemas.microsoft.com/office/drawing/2014/main" id="{00000000-0008-0000-0A00-000018000000}"/>
            </a:ext>
          </a:extLst>
        </xdr:cNvPr>
        <xdr:cNvPicPr>
          <a:picLocks noChangeAspect="1"/>
        </xdr:cNvPicPr>
      </xdr:nvPicPr>
      <xdr:blipFill>
        <a:blip xmlns:r="http://schemas.openxmlformats.org/officeDocument/2006/relationships" r:embed="rId5"/>
        <a:stretch>
          <a:fillRect/>
        </a:stretch>
      </xdr:blipFill>
      <xdr:spPr>
        <a:xfrm flipV="1">
          <a:off x="430065" y="6688426"/>
          <a:ext cx="2590567" cy="140995"/>
        </a:xfrm>
        <a:prstGeom prst="rect">
          <a:avLst/>
        </a:prstGeom>
      </xdr:spPr>
    </xdr:pic>
    <xdr:clientData/>
  </xdr:oneCellAnchor>
  <xdr:oneCellAnchor>
    <xdr:from>
      <xdr:col>13</xdr:col>
      <xdr:colOff>36575</xdr:colOff>
      <xdr:row>59</xdr:row>
      <xdr:rowOff>29283</xdr:rowOff>
    </xdr:from>
    <xdr:ext cx="161305" cy="148217"/>
    <xdr:pic>
      <xdr:nvPicPr>
        <xdr:cNvPr id="26" name="Picture 25">
          <a:extLst>
            <a:ext uri="{FF2B5EF4-FFF2-40B4-BE49-F238E27FC236}">
              <a16:creationId xmlns:a16="http://schemas.microsoft.com/office/drawing/2014/main" id="{00000000-0008-0000-0A00-00001A000000}"/>
            </a:ext>
          </a:extLst>
        </xdr:cNvPr>
        <xdr:cNvPicPr>
          <a:picLocks noChangeAspect="1"/>
        </xdr:cNvPicPr>
      </xdr:nvPicPr>
      <xdr:blipFill>
        <a:blip xmlns:r="http://schemas.openxmlformats.org/officeDocument/2006/relationships" r:embed="rId3"/>
        <a:stretch>
          <a:fillRect/>
        </a:stretch>
      </xdr:blipFill>
      <xdr:spPr>
        <a:xfrm flipV="1">
          <a:off x="4481575" y="5065988"/>
          <a:ext cx="161305" cy="148217"/>
        </a:xfrm>
        <a:prstGeom prst="rect">
          <a:avLst/>
        </a:prstGeom>
      </xdr:spPr>
    </xdr:pic>
    <xdr:clientData/>
  </xdr:oneCellAnchor>
  <xdr:oneCellAnchor>
    <xdr:from>
      <xdr:col>13</xdr:col>
      <xdr:colOff>29283</xdr:colOff>
      <xdr:row>60</xdr:row>
      <xdr:rowOff>18616</xdr:rowOff>
    </xdr:from>
    <xdr:ext cx="176877" cy="160071"/>
    <xdr:pic>
      <xdr:nvPicPr>
        <xdr:cNvPr id="27" name="Picture 26">
          <a:extLst>
            <a:ext uri="{FF2B5EF4-FFF2-40B4-BE49-F238E27FC236}">
              <a16:creationId xmlns:a16="http://schemas.microsoft.com/office/drawing/2014/main" id="{00000000-0008-0000-0A00-00001B000000}"/>
            </a:ext>
          </a:extLst>
        </xdr:cNvPr>
        <xdr:cNvPicPr>
          <a:picLocks noChangeAspect="1"/>
        </xdr:cNvPicPr>
      </xdr:nvPicPr>
      <xdr:blipFill>
        <a:blip xmlns:r="http://schemas.openxmlformats.org/officeDocument/2006/relationships" r:embed="rId4"/>
        <a:stretch>
          <a:fillRect/>
        </a:stretch>
      </xdr:blipFill>
      <xdr:spPr>
        <a:xfrm>
          <a:off x="4474283" y="5257366"/>
          <a:ext cx="176877" cy="160071"/>
        </a:xfrm>
        <a:prstGeom prst="rect">
          <a:avLst/>
        </a:prstGeom>
      </xdr:spPr>
    </xdr:pic>
    <xdr:clientData/>
  </xdr:oneCellAnchor>
  <xdr:oneCellAnchor>
    <xdr:from>
      <xdr:col>2</xdr:col>
      <xdr:colOff>15872</xdr:colOff>
      <xdr:row>66</xdr:row>
      <xdr:rowOff>31749</xdr:rowOff>
    </xdr:from>
    <xdr:ext cx="2590567" cy="140995"/>
    <xdr:pic>
      <xdr:nvPicPr>
        <xdr:cNvPr id="28" name="Picture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5"/>
        <a:stretch>
          <a:fillRect/>
        </a:stretch>
      </xdr:blipFill>
      <xdr:spPr>
        <a:xfrm flipV="1">
          <a:off x="432591" y="8354218"/>
          <a:ext cx="2590567" cy="140995"/>
        </a:xfrm>
        <a:prstGeom prst="rect">
          <a:avLst/>
        </a:prstGeom>
      </xdr:spPr>
    </xdr:pic>
    <xdr:clientData/>
  </xdr:oneCellAnchor>
  <xdr:oneCellAnchor>
    <xdr:from>
      <xdr:col>13</xdr:col>
      <xdr:colOff>36575</xdr:colOff>
      <xdr:row>66</xdr:row>
      <xdr:rowOff>29283</xdr:rowOff>
    </xdr:from>
    <xdr:ext cx="161305" cy="148217"/>
    <xdr:pic>
      <xdr:nvPicPr>
        <xdr:cNvPr id="30" name="Picture 29">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3"/>
        <a:stretch>
          <a:fillRect/>
        </a:stretch>
      </xdr:blipFill>
      <xdr:spPr>
        <a:xfrm flipV="1">
          <a:off x="4481575" y="5065988"/>
          <a:ext cx="161305" cy="148217"/>
        </a:xfrm>
        <a:prstGeom prst="rect">
          <a:avLst/>
        </a:prstGeom>
      </xdr:spPr>
    </xdr:pic>
    <xdr:clientData/>
  </xdr:oneCellAnchor>
  <xdr:oneCellAnchor>
    <xdr:from>
      <xdr:col>13</xdr:col>
      <xdr:colOff>29283</xdr:colOff>
      <xdr:row>67</xdr:row>
      <xdr:rowOff>18616</xdr:rowOff>
    </xdr:from>
    <xdr:ext cx="176877" cy="160071"/>
    <xdr:pic>
      <xdr:nvPicPr>
        <xdr:cNvPr id="31" name="Picture 30">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4"/>
        <a:stretch>
          <a:fillRect/>
        </a:stretch>
      </xdr:blipFill>
      <xdr:spPr>
        <a:xfrm>
          <a:off x="4474283" y="5257366"/>
          <a:ext cx="176877" cy="160071"/>
        </a:xfrm>
        <a:prstGeom prst="rect">
          <a:avLst/>
        </a:prstGeom>
      </xdr:spPr>
    </xdr:pic>
    <xdr:clientData/>
  </xdr:oneCellAnchor>
  <xdr:oneCellAnchor>
    <xdr:from>
      <xdr:col>2</xdr:col>
      <xdr:colOff>23810</xdr:colOff>
      <xdr:row>73</xdr:row>
      <xdr:rowOff>31749</xdr:rowOff>
    </xdr:from>
    <xdr:ext cx="2590567" cy="140995"/>
    <xdr:pic>
      <xdr:nvPicPr>
        <xdr:cNvPr id="32" name="Picture 31">
          <a:extLst>
            <a:ext uri="{FF2B5EF4-FFF2-40B4-BE49-F238E27FC236}">
              <a16:creationId xmlns:a16="http://schemas.microsoft.com/office/drawing/2014/main" id="{00000000-0008-0000-0A00-000020000000}"/>
            </a:ext>
          </a:extLst>
        </xdr:cNvPr>
        <xdr:cNvPicPr>
          <a:picLocks noChangeAspect="1"/>
        </xdr:cNvPicPr>
      </xdr:nvPicPr>
      <xdr:blipFill>
        <a:blip xmlns:r="http://schemas.openxmlformats.org/officeDocument/2006/relationships" r:embed="rId5"/>
        <a:stretch>
          <a:fillRect/>
        </a:stretch>
      </xdr:blipFill>
      <xdr:spPr>
        <a:xfrm flipV="1">
          <a:off x="468310" y="9929812"/>
          <a:ext cx="2590567" cy="140995"/>
        </a:xfrm>
        <a:prstGeom prst="rect">
          <a:avLst/>
        </a:prstGeom>
      </xdr:spPr>
    </xdr:pic>
    <xdr:clientData/>
  </xdr:oneCellAnchor>
  <xdr:oneCellAnchor>
    <xdr:from>
      <xdr:col>13</xdr:col>
      <xdr:colOff>36575</xdr:colOff>
      <xdr:row>73</xdr:row>
      <xdr:rowOff>29283</xdr:rowOff>
    </xdr:from>
    <xdr:ext cx="161305" cy="148217"/>
    <xdr:pic>
      <xdr:nvPicPr>
        <xdr:cNvPr id="34" name="Picture 33">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3"/>
        <a:stretch>
          <a:fillRect/>
        </a:stretch>
      </xdr:blipFill>
      <xdr:spPr>
        <a:xfrm flipV="1">
          <a:off x="4481575" y="5065988"/>
          <a:ext cx="161305" cy="148217"/>
        </a:xfrm>
        <a:prstGeom prst="rect">
          <a:avLst/>
        </a:prstGeom>
      </xdr:spPr>
    </xdr:pic>
    <xdr:clientData/>
  </xdr:oneCellAnchor>
  <xdr:oneCellAnchor>
    <xdr:from>
      <xdr:col>13</xdr:col>
      <xdr:colOff>29283</xdr:colOff>
      <xdr:row>74</xdr:row>
      <xdr:rowOff>18616</xdr:rowOff>
    </xdr:from>
    <xdr:ext cx="176877" cy="160071"/>
    <xdr:pic>
      <xdr:nvPicPr>
        <xdr:cNvPr id="35" name="Picture 34">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4"/>
        <a:stretch>
          <a:fillRect/>
        </a:stretch>
      </xdr:blipFill>
      <xdr:spPr>
        <a:xfrm>
          <a:off x="4474283" y="5257366"/>
          <a:ext cx="176877" cy="160071"/>
        </a:xfrm>
        <a:prstGeom prst="rect">
          <a:avLst/>
        </a:prstGeom>
      </xdr:spPr>
    </xdr:pic>
    <xdr:clientData/>
  </xdr:oneCellAnchor>
  <xdr:oneCellAnchor>
    <xdr:from>
      <xdr:col>2</xdr:col>
      <xdr:colOff>15872</xdr:colOff>
      <xdr:row>80</xdr:row>
      <xdr:rowOff>31749</xdr:rowOff>
    </xdr:from>
    <xdr:ext cx="2590567" cy="140995"/>
    <xdr:pic>
      <xdr:nvPicPr>
        <xdr:cNvPr id="36" name="Picture 35">
          <a:extLst>
            <a:ext uri="{FF2B5EF4-FFF2-40B4-BE49-F238E27FC236}">
              <a16:creationId xmlns:a16="http://schemas.microsoft.com/office/drawing/2014/main" id="{00000000-0008-0000-0A00-000024000000}"/>
            </a:ext>
          </a:extLst>
        </xdr:cNvPr>
        <xdr:cNvPicPr>
          <a:picLocks noChangeAspect="1"/>
        </xdr:cNvPicPr>
      </xdr:nvPicPr>
      <xdr:blipFill>
        <a:blip xmlns:r="http://schemas.openxmlformats.org/officeDocument/2006/relationships" r:embed="rId5"/>
        <a:stretch>
          <a:fillRect/>
        </a:stretch>
      </xdr:blipFill>
      <xdr:spPr>
        <a:xfrm flipV="1">
          <a:off x="432591" y="11711780"/>
          <a:ext cx="2590567" cy="140995"/>
        </a:xfrm>
        <a:prstGeom prst="rect">
          <a:avLst/>
        </a:prstGeom>
      </xdr:spPr>
    </xdr:pic>
    <xdr:clientData/>
  </xdr:oneCellAnchor>
  <xdr:oneCellAnchor>
    <xdr:from>
      <xdr:col>13</xdr:col>
      <xdr:colOff>36575</xdr:colOff>
      <xdr:row>80</xdr:row>
      <xdr:rowOff>89053</xdr:rowOff>
    </xdr:from>
    <xdr:ext cx="161305" cy="148217"/>
    <xdr:pic>
      <xdr:nvPicPr>
        <xdr:cNvPr id="38" name="Picture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stretch>
          <a:fillRect/>
        </a:stretch>
      </xdr:blipFill>
      <xdr:spPr>
        <a:xfrm flipV="1">
          <a:off x="3674751" y="16486994"/>
          <a:ext cx="161305" cy="148217"/>
        </a:xfrm>
        <a:prstGeom prst="rect">
          <a:avLst/>
        </a:prstGeom>
      </xdr:spPr>
    </xdr:pic>
    <xdr:clientData/>
  </xdr:oneCellAnchor>
  <xdr:oneCellAnchor>
    <xdr:from>
      <xdr:col>13</xdr:col>
      <xdr:colOff>36754</xdr:colOff>
      <xdr:row>81</xdr:row>
      <xdr:rowOff>85852</xdr:rowOff>
    </xdr:from>
    <xdr:ext cx="176877" cy="160071"/>
    <xdr:pic>
      <xdr:nvPicPr>
        <xdr:cNvPr id="39" name="Picture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4"/>
        <a:stretch>
          <a:fillRect/>
        </a:stretch>
      </xdr:blipFill>
      <xdr:spPr>
        <a:xfrm>
          <a:off x="3674930" y="16737793"/>
          <a:ext cx="176877" cy="160071"/>
        </a:xfrm>
        <a:prstGeom prst="rect">
          <a:avLst/>
        </a:prstGeom>
      </xdr:spPr>
    </xdr:pic>
    <xdr:clientData/>
  </xdr:oneCellAnchor>
  <xdr:oneCellAnchor>
    <xdr:from>
      <xdr:col>2</xdr:col>
      <xdr:colOff>15872</xdr:colOff>
      <xdr:row>87</xdr:row>
      <xdr:rowOff>31749</xdr:rowOff>
    </xdr:from>
    <xdr:ext cx="2590567" cy="140995"/>
    <xdr:pic>
      <xdr:nvPicPr>
        <xdr:cNvPr id="44" name="Picture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5"/>
        <a:stretch>
          <a:fillRect/>
        </a:stretch>
      </xdr:blipFill>
      <xdr:spPr>
        <a:xfrm flipV="1">
          <a:off x="432591" y="13390562"/>
          <a:ext cx="2590567" cy="140995"/>
        </a:xfrm>
        <a:prstGeom prst="rect">
          <a:avLst/>
        </a:prstGeom>
      </xdr:spPr>
    </xdr:pic>
    <xdr:clientData/>
  </xdr:oneCellAnchor>
  <xdr:oneCellAnchor>
    <xdr:from>
      <xdr:col>13</xdr:col>
      <xdr:colOff>36575</xdr:colOff>
      <xdr:row>87</xdr:row>
      <xdr:rowOff>29283</xdr:rowOff>
    </xdr:from>
    <xdr:ext cx="161305" cy="148217"/>
    <xdr:pic>
      <xdr:nvPicPr>
        <xdr:cNvPr id="46" name="Picture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3"/>
        <a:stretch>
          <a:fillRect/>
        </a:stretch>
      </xdr:blipFill>
      <xdr:spPr>
        <a:xfrm flipV="1">
          <a:off x="4481575" y="8933715"/>
          <a:ext cx="161305" cy="148217"/>
        </a:xfrm>
        <a:prstGeom prst="rect">
          <a:avLst/>
        </a:prstGeom>
      </xdr:spPr>
    </xdr:pic>
    <xdr:clientData/>
  </xdr:oneCellAnchor>
  <xdr:oneCellAnchor>
    <xdr:from>
      <xdr:col>13</xdr:col>
      <xdr:colOff>29283</xdr:colOff>
      <xdr:row>88</xdr:row>
      <xdr:rowOff>18616</xdr:rowOff>
    </xdr:from>
    <xdr:ext cx="176877" cy="160071"/>
    <xdr:pic>
      <xdr:nvPicPr>
        <xdr:cNvPr id="47" name="Picture 46">
          <a:extLst>
            <a:ext uri="{FF2B5EF4-FFF2-40B4-BE49-F238E27FC236}">
              <a16:creationId xmlns:a16="http://schemas.microsoft.com/office/drawing/2014/main" id="{00000000-0008-0000-0A00-00002F000000}"/>
            </a:ext>
          </a:extLst>
        </xdr:cNvPr>
        <xdr:cNvPicPr>
          <a:picLocks noChangeAspect="1"/>
        </xdr:cNvPicPr>
      </xdr:nvPicPr>
      <xdr:blipFill>
        <a:blip xmlns:r="http://schemas.openxmlformats.org/officeDocument/2006/relationships" r:embed="rId4"/>
        <a:stretch>
          <a:fillRect/>
        </a:stretch>
      </xdr:blipFill>
      <xdr:spPr>
        <a:xfrm>
          <a:off x="4474283" y="9110661"/>
          <a:ext cx="176877" cy="160071"/>
        </a:xfrm>
        <a:prstGeom prst="rect">
          <a:avLst/>
        </a:prstGeom>
      </xdr:spPr>
    </xdr:pic>
    <xdr:clientData/>
  </xdr:oneCellAnchor>
  <xdr:twoCellAnchor>
    <xdr:from>
      <xdr:col>0</xdr:col>
      <xdr:colOff>214313</xdr:colOff>
      <xdr:row>11</xdr:row>
      <xdr:rowOff>231319</xdr:rowOff>
    </xdr:from>
    <xdr:to>
      <xdr:col>15</xdr:col>
      <xdr:colOff>583406</xdr:colOff>
      <xdr:row>27</xdr:row>
      <xdr:rowOff>47624</xdr:rowOff>
    </xdr:to>
    <xdr:graphicFrame macro="">
      <xdr:nvGraphicFramePr>
        <xdr:cNvPr id="41" name="Chart 40">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13</xdr:col>
      <xdr:colOff>23090</xdr:colOff>
      <xdr:row>51</xdr:row>
      <xdr:rowOff>45504</xdr:rowOff>
    </xdr:from>
    <xdr:to>
      <xdr:col>13</xdr:col>
      <xdr:colOff>202603</xdr:colOff>
      <xdr:row>51</xdr:row>
      <xdr:rowOff>204410</xdr:rowOff>
    </xdr:to>
    <xdr:pic>
      <xdr:nvPicPr>
        <xdr:cNvPr id="45" name="Picture 44">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2"/>
        <a:stretch>
          <a:fillRect/>
        </a:stretch>
      </xdr:blipFill>
      <xdr:spPr>
        <a:xfrm>
          <a:off x="3597233" y="9470718"/>
          <a:ext cx="179513" cy="158906"/>
        </a:xfrm>
        <a:prstGeom prst="rect">
          <a:avLst/>
        </a:prstGeom>
      </xdr:spPr>
    </xdr:pic>
    <xdr:clientData/>
  </xdr:twoCellAnchor>
  <xdr:twoCellAnchor editAs="oneCell">
    <xdr:from>
      <xdr:col>13</xdr:col>
      <xdr:colOff>14942</xdr:colOff>
      <xdr:row>58</xdr:row>
      <xdr:rowOff>67235</xdr:rowOff>
    </xdr:from>
    <xdr:to>
      <xdr:col>13</xdr:col>
      <xdr:colOff>194455</xdr:colOff>
      <xdr:row>58</xdr:row>
      <xdr:rowOff>226141</xdr:rowOff>
    </xdr:to>
    <xdr:pic>
      <xdr:nvPicPr>
        <xdr:cNvPr id="48" name="Picture 47">
          <a:extLst>
            <a:ext uri="{FF2B5EF4-FFF2-40B4-BE49-F238E27FC236}">
              <a16:creationId xmlns:a16="http://schemas.microsoft.com/office/drawing/2014/main" id="{00000000-0008-0000-0A00-000030000000}"/>
            </a:ext>
          </a:extLst>
        </xdr:cNvPr>
        <xdr:cNvPicPr>
          <a:picLocks noChangeAspect="1"/>
        </xdr:cNvPicPr>
      </xdr:nvPicPr>
      <xdr:blipFill>
        <a:blip xmlns:r="http://schemas.openxmlformats.org/officeDocument/2006/relationships" r:embed="rId2"/>
        <a:stretch>
          <a:fillRect/>
        </a:stretch>
      </xdr:blipFill>
      <xdr:spPr>
        <a:xfrm>
          <a:off x="3653118" y="11101294"/>
          <a:ext cx="179513" cy="158906"/>
        </a:xfrm>
        <a:prstGeom prst="rect">
          <a:avLst/>
        </a:prstGeom>
      </xdr:spPr>
    </xdr:pic>
    <xdr:clientData/>
  </xdr:twoCellAnchor>
  <xdr:oneCellAnchor>
    <xdr:from>
      <xdr:col>13</xdr:col>
      <xdr:colOff>14942</xdr:colOff>
      <xdr:row>65</xdr:row>
      <xdr:rowOff>67235</xdr:rowOff>
    </xdr:from>
    <xdr:ext cx="179513" cy="158906"/>
    <xdr:pic>
      <xdr:nvPicPr>
        <xdr:cNvPr id="49" name="Picture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2"/>
        <a:stretch>
          <a:fillRect/>
        </a:stretch>
      </xdr:blipFill>
      <xdr:spPr>
        <a:xfrm>
          <a:off x="3653118" y="11101294"/>
          <a:ext cx="179513" cy="158906"/>
        </a:xfrm>
        <a:prstGeom prst="rect">
          <a:avLst/>
        </a:prstGeom>
      </xdr:spPr>
    </xdr:pic>
    <xdr:clientData/>
  </xdr:oneCellAnchor>
  <xdr:oneCellAnchor>
    <xdr:from>
      <xdr:col>13</xdr:col>
      <xdr:colOff>14942</xdr:colOff>
      <xdr:row>72</xdr:row>
      <xdr:rowOff>67235</xdr:rowOff>
    </xdr:from>
    <xdr:ext cx="179513" cy="158906"/>
    <xdr:pic>
      <xdr:nvPicPr>
        <xdr:cNvPr id="50" name="Picture 49">
          <a:extLst>
            <a:ext uri="{FF2B5EF4-FFF2-40B4-BE49-F238E27FC236}">
              <a16:creationId xmlns:a16="http://schemas.microsoft.com/office/drawing/2014/main" id="{00000000-0008-0000-0A00-000032000000}"/>
            </a:ext>
          </a:extLst>
        </xdr:cNvPr>
        <xdr:cNvPicPr>
          <a:picLocks noChangeAspect="1"/>
        </xdr:cNvPicPr>
      </xdr:nvPicPr>
      <xdr:blipFill>
        <a:blip xmlns:r="http://schemas.openxmlformats.org/officeDocument/2006/relationships" r:embed="rId2"/>
        <a:stretch>
          <a:fillRect/>
        </a:stretch>
      </xdr:blipFill>
      <xdr:spPr>
        <a:xfrm>
          <a:off x="3653118" y="12804588"/>
          <a:ext cx="179513" cy="158906"/>
        </a:xfrm>
        <a:prstGeom prst="rect">
          <a:avLst/>
        </a:prstGeom>
      </xdr:spPr>
    </xdr:pic>
    <xdr:clientData/>
  </xdr:oneCellAnchor>
  <xdr:oneCellAnchor>
    <xdr:from>
      <xdr:col>13</xdr:col>
      <xdr:colOff>14942</xdr:colOff>
      <xdr:row>79</xdr:row>
      <xdr:rowOff>67235</xdr:rowOff>
    </xdr:from>
    <xdr:ext cx="179513" cy="158906"/>
    <xdr:pic>
      <xdr:nvPicPr>
        <xdr:cNvPr id="51" name="Picture 50">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2"/>
        <a:stretch>
          <a:fillRect/>
        </a:stretch>
      </xdr:blipFill>
      <xdr:spPr>
        <a:xfrm>
          <a:off x="3653118" y="14507882"/>
          <a:ext cx="179513" cy="158906"/>
        </a:xfrm>
        <a:prstGeom prst="rect">
          <a:avLst/>
        </a:prstGeom>
      </xdr:spPr>
    </xdr:pic>
    <xdr:clientData/>
  </xdr:oneCellAnchor>
  <xdr:oneCellAnchor>
    <xdr:from>
      <xdr:col>13</xdr:col>
      <xdr:colOff>14942</xdr:colOff>
      <xdr:row>86</xdr:row>
      <xdr:rowOff>67235</xdr:rowOff>
    </xdr:from>
    <xdr:ext cx="179513" cy="158906"/>
    <xdr:pic>
      <xdr:nvPicPr>
        <xdr:cNvPr id="52" name="Picture 51">
          <a:extLst>
            <a:ext uri="{FF2B5EF4-FFF2-40B4-BE49-F238E27FC236}">
              <a16:creationId xmlns:a16="http://schemas.microsoft.com/office/drawing/2014/main" id="{00000000-0008-0000-0A00-000034000000}"/>
            </a:ext>
          </a:extLst>
        </xdr:cNvPr>
        <xdr:cNvPicPr>
          <a:picLocks noChangeAspect="1"/>
        </xdr:cNvPicPr>
      </xdr:nvPicPr>
      <xdr:blipFill>
        <a:blip xmlns:r="http://schemas.openxmlformats.org/officeDocument/2006/relationships" r:embed="rId2"/>
        <a:stretch>
          <a:fillRect/>
        </a:stretch>
      </xdr:blipFill>
      <xdr:spPr>
        <a:xfrm>
          <a:off x="3653118" y="16211176"/>
          <a:ext cx="179513" cy="158906"/>
        </a:xfrm>
        <a:prstGeom prst="rect">
          <a:avLst/>
        </a:prstGeom>
      </xdr:spPr>
    </xdr:pic>
    <xdr:clientData/>
  </xdr:oneCellAnchor>
  <xdr:twoCellAnchor>
    <xdr:from>
      <xdr:col>15</xdr:col>
      <xdr:colOff>394006</xdr:colOff>
      <xdr:row>18</xdr:row>
      <xdr:rowOff>171828</xdr:rowOff>
    </xdr:from>
    <xdr:to>
      <xdr:col>15</xdr:col>
      <xdr:colOff>573300</xdr:colOff>
      <xdr:row>19</xdr:row>
      <xdr:rowOff>149417</xdr:rowOff>
    </xdr:to>
    <xdr:sp macro="" textlink="">
      <xdr:nvSpPr>
        <xdr:cNvPr id="4" name="&quot;Not Allowed&quot; Symbol 3">
          <a:extLst>
            <a:ext uri="{FF2B5EF4-FFF2-40B4-BE49-F238E27FC236}">
              <a16:creationId xmlns:a16="http://schemas.microsoft.com/office/drawing/2014/main" id="{00000000-0008-0000-0A00-000004000000}"/>
            </a:ext>
          </a:extLst>
        </xdr:cNvPr>
        <xdr:cNvSpPr>
          <a:spLocks noChangeAspect="1"/>
        </xdr:cNvSpPr>
      </xdr:nvSpPr>
      <xdr:spPr>
        <a:xfrm>
          <a:off x="4932876" y="3451741"/>
          <a:ext cx="179294" cy="154285"/>
        </a:xfrm>
        <a:prstGeom prst="noSmoking">
          <a:avLst/>
        </a:prstGeom>
        <a:solidFill>
          <a:srgbClr val="FF0000"/>
        </a:solidFill>
        <a:ln w="3175">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oneCellAnchor>
    <xdr:from>
      <xdr:col>15</xdr:col>
      <xdr:colOff>427783</xdr:colOff>
      <xdr:row>24</xdr:row>
      <xdr:rowOff>7484</xdr:rowOff>
    </xdr:from>
    <xdr:ext cx="137217" cy="187872"/>
    <xdr:sp macro="" textlink="">
      <xdr:nvSpPr>
        <xdr:cNvPr id="9" name="TextBox 8">
          <a:extLst>
            <a:ext uri="{FF2B5EF4-FFF2-40B4-BE49-F238E27FC236}">
              <a16:creationId xmlns:a16="http://schemas.microsoft.com/office/drawing/2014/main" id="{00000000-0008-0000-0A00-000009000000}"/>
            </a:ext>
          </a:extLst>
        </xdr:cNvPr>
        <xdr:cNvSpPr txBox="1">
          <a:spLocks noChangeAspect="1"/>
        </xdr:cNvSpPr>
      </xdr:nvSpPr>
      <xdr:spPr>
        <a:xfrm>
          <a:off x="4966653" y="4397267"/>
          <a:ext cx="137217"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200" b="1">
              <a:sym typeface="Wingdings 3" panose="05040102010807070707" pitchFamily="18" charset="2"/>
            </a:rPr>
            <a:t></a:t>
          </a:r>
          <a:endParaRPr lang="en-GB" sz="1200" b="1"/>
        </a:p>
      </xdr:txBody>
    </xdr:sp>
    <xdr:clientData/>
  </xdr:oneCellAnchor>
  <xdr:oneCellAnchor>
    <xdr:from>
      <xdr:col>15</xdr:col>
      <xdr:colOff>425174</xdr:colOff>
      <xdr:row>24</xdr:row>
      <xdr:rowOff>171180</xdr:rowOff>
    </xdr:from>
    <xdr:ext cx="141064" cy="172227"/>
    <xdr:sp macro="" textlink="">
      <xdr:nvSpPr>
        <xdr:cNvPr id="11" name="TextBox 10">
          <a:extLst>
            <a:ext uri="{FF2B5EF4-FFF2-40B4-BE49-F238E27FC236}">
              <a16:creationId xmlns:a16="http://schemas.microsoft.com/office/drawing/2014/main" id="{00000000-0008-0000-0A00-00000B000000}"/>
            </a:ext>
          </a:extLst>
        </xdr:cNvPr>
        <xdr:cNvSpPr txBox="1">
          <a:spLocks noChangeAspect="1"/>
        </xdr:cNvSpPr>
      </xdr:nvSpPr>
      <xdr:spPr>
        <a:xfrm>
          <a:off x="4964044" y="4560963"/>
          <a:ext cx="1410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a:solidFill>
                <a:sysClr val="windowText" lastClr="000000"/>
              </a:solidFill>
              <a:sym typeface="Webdings" panose="05030102010509060703" pitchFamily="18" charset="2"/>
            </a:rPr>
            <a:t></a:t>
          </a:r>
          <a:endParaRPr lang="en-GB" sz="1100">
            <a:solidFill>
              <a:sysClr val="windowText" lastClr="000000"/>
            </a:solidFill>
          </a:endParaRPr>
        </a:p>
      </xdr:txBody>
    </xdr:sp>
    <xdr:clientData/>
  </xdr:oneCellAnchor>
  <xdr:oneCellAnchor>
    <xdr:from>
      <xdr:col>15</xdr:col>
      <xdr:colOff>442713</xdr:colOff>
      <xdr:row>19</xdr:row>
      <xdr:rowOff>128624</xdr:rowOff>
    </xdr:from>
    <xdr:ext cx="102336" cy="300467"/>
    <xdr:sp macro="" textlink="">
      <xdr:nvSpPr>
        <xdr:cNvPr id="12" name="TextBox 11">
          <a:extLst>
            <a:ext uri="{FF2B5EF4-FFF2-40B4-BE49-F238E27FC236}">
              <a16:creationId xmlns:a16="http://schemas.microsoft.com/office/drawing/2014/main" id="{00000000-0008-0000-0A00-00000C000000}"/>
            </a:ext>
          </a:extLst>
        </xdr:cNvPr>
        <xdr:cNvSpPr txBox="1">
          <a:spLocks noChangeAspect="1"/>
        </xdr:cNvSpPr>
      </xdr:nvSpPr>
      <xdr:spPr>
        <a:xfrm>
          <a:off x="4981583" y="3585233"/>
          <a:ext cx="102336" cy="300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400" b="1">
              <a:latin typeface="Yu Gothic" panose="020B0400000000000000" pitchFamily="34" charset="-128"/>
              <a:ea typeface="Yu Gothic" panose="020B0400000000000000" pitchFamily="34" charset="-128"/>
              <a:sym typeface="Wingdings 2" panose="05020102010507070707" pitchFamily="18" charset="2"/>
            </a:rPr>
            <a:t>‽</a:t>
          </a:r>
          <a:endParaRPr lang="en-GB" sz="1400" b="1"/>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9</xdr:col>
      <xdr:colOff>23812</xdr:colOff>
      <xdr:row>3</xdr:row>
      <xdr:rowOff>95251</xdr:rowOff>
    </xdr:from>
    <xdr:to>
      <xdr:col>14</xdr:col>
      <xdr:colOff>147777</xdr:colOff>
      <xdr:row>15</xdr:row>
      <xdr:rowOff>18490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3</xdr:row>
          <xdr:rowOff>15240</xdr:rowOff>
        </xdr:from>
        <xdr:to>
          <xdr:col>7</xdr:col>
          <xdr:colOff>944880</xdr:colOff>
          <xdr:row>3</xdr:row>
          <xdr:rowOff>182880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D00-0000011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182880</xdr:rowOff>
        </xdr:from>
        <xdr:to>
          <xdr:col>7</xdr:col>
          <xdr:colOff>944880</xdr:colOff>
          <xdr:row>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D00-0000021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15</xdr:row>
          <xdr:rowOff>0</xdr:rowOff>
        </xdr:from>
        <xdr:to>
          <xdr:col>7</xdr:col>
          <xdr:colOff>944880</xdr:colOff>
          <xdr:row>15</xdr:row>
          <xdr:rowOff>182880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D00-0000031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167640</xdr:rowOff>
        </xdr:from>
        <xdr:to>
          <xdr:col>7</xdr:col>
          <xdr:colOff>952500</xdr:colOff>
          <xdr:row>27</xdr:row>
          <xdr:rowOff>182880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D00-0000041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29</xdr:row>
          <xdr:rowOff>182880</xdr:rowOff>
        </xdr:from>
        <xdr:to>
          <xdr:col>7</xdr:col>
          <xdr:colOff>944880</xdr:colOff>
          <xdr:row>30</xdr:row>
          <xdr:rowOff>182880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D00-0000051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xdr:row>
          <xdr:rowOff>190500</xdr:rowOff>
        </xdr:from>
        <xdr:to>
          <xdr:col>8</xdr:col>
          <xdr:colOff>30480</xdr:colOff>
          <xdr:row>5</xdr:row>
          <xdr:rowOff>0</xdr:rowOff>
        </xdr:to>
        <xdr:sp macro="" textlink="">
          <xdr:nvSpPr>
            <xdr:cNvPr id="6150" name="Scroll Bar 6" hidden="1">
              <a:extLst>
                <a:ext uri="{63B3BB69-23CF-44E3-9099-C40C66FF867C}">
                  <a14:compatExt spid="_x0000_s6150"/>
                </a:ext>
                <a:ext uri="{FF2B5EF4-FFF2-40B4-BE49-F238E27FC236}">
                  <a16:creationId xmlns:a16="http://schemas.microsoft.com/office/drawing/2014/main" id="{00000000-0008-0000-0D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xdr:row>
          <xdr:rowOff>0</xdr:rowOff>
        </xdr:from>
        <xdr:to>
          <xdr:col>8</xdr:col>
          <xdr:colOff>30480</xdr:colOff>
          <xdr:row>6</xdr:row>
          <xdr:rowOff>0</xdr:rowOff>
        </xdr:to>
        <xdr:sp macro="" textlink="">
          <xdr:nvSpPr>
            <xdr:cNvPr id="6151" name="Scroll Bar 7" hidden="1">
              <a:extLst>
                <a:ext uri="{63B3BB69-23CF-44E3-9099-C40C66FF867C}">
                  <a14:compatExt spid="_x0000_s6151"/>
                </a:ext>
                <a:ext uri="{FF2B5EF4-FFF2-40B4-BE49-F238E27FC236}">
                  <a16:creationId xmlns:a16="http://schemas.microsoft.com/office/drawing/2014/main" id="{00000000-0008-0000-0D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xdr:row>
          <xdr:rowOff>0</xdr:rowOff>
        </xdr:from>
        <xdr:to>
          <xdr:col>8</xdr:col>
          <xdr:colOff>30480</xdr:colOff>
          <xdr:row>7</xdr:row>
          <xdr:rowOff>0</xdr:rowOff>
        </xdr:to>
        <xdr:sp macro="" textlink="">
          <xdr:nvSpPr>
            <xdr:cNvPr id="6152" name="Scroll Bar 8" hidden="1">
              <a:extLst>
                <a:ext uri="{63B3BB69-23CF-44E3-9099-C40C66FF867C}">
                  <a14:compatExt spid="_x0000_s6152"/>
                </a:ext>
                <a:ext uri="{FF2B5EF4-FFF2-40B4-BE49-F238E27FC236}">
                  <a16:creationId xmlns:a16="http://schemas.microsoft.com/office/drawing/2014/main" id="{00000000-0008-0000-0D00-00000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182880</xdr:rowOff>
        </xdr:from>
        <xdr:to>
          <xdr:col>8</xdr:col>
          <xdr:colOff>30480</xdr:colOff>
          <xdr:row>7</xdr:row>
          <xdr:rowOff>182880</xdr:rowOff>
        </xdr:to>
        <xdr:sp macro="" textlink="">
          <xdr:nvSpPr>
            <xdr:cNvPr id="6153" name="Scroll Bar 9" hidden="1">
              <a:extLst>
                <a:ext uri="{63B3BB69-23CF-44E3-9099-C40C66FF867C}">
                  <a14:compatExt spid="_x0000_s6153"/>
                </a:ext>
                <a:ext uri="{FF2B5EF4-FFF2-40B4-BE49-F238E27FC236}">
                  <a16:creationId xmlns:a16="http://schemas.microsoft.com/office/drawing/2014/main" id="{00000000-0008-0000-0D00-00000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0</xdr:rowOff>
        </xdr:from>
        <xdr:to>
          <xdr:col>8</xdr:col>
          <xdr:colOff>30480</xdr:colOff>
          <xdr:row>10</xdr:row>
          <xdr:rowOff>0</xdr:rowOff>
        </xdr:to>
        <xdr:sp macro="" textlink="">
          <xdr:nvSpPr>
            <xdr:cNvPr id="6154" name="Scroll Bar 10" hidden="1">
              <a:extLst>
                <a:ext uri="{63B3BB69-23CF-44E3-9099-C40C66FF867C}">
                  <a14:compatExt spid="_x0000_s6154"/>
                </a:ext>
                <a:ext uri="{FF2B5EF4-FFF2-40B4-BE49-F238E27FC236}">
                  <a16:creationId xmlns:a16="http://schemas.microsoft.com/office/drawing/2014/main" id="{00000000-0008-0000-0D00-00000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0</xdr:rowOff>
        </xdr:from>
        <xdr:to>
          <xdr:col>8</xdr:col>
          <xdr:colOff>30480</xdr:colOff>
          <xdr:row>11</xdr:row>
          <xdr:rowOff>0</xdr:rowOff>
        </xdr:to>
        <xdr:sp macro="" textlink="">
          <xdr:nvSpPr>
            <xdr:cNvPr id="6155" name="Scroll Bar 11" hidden="1">
              <a:extLst>
                <a:ext uri="{63B3BB69-23CF-44E3-9099-C40C66FF867C}">
                  <a14:compatExt spid="_x0000_s6155"/>
                </a:ext>
                <a:ext uri="{FF2B5EF4-FFF2-40B4-BE49-F238E27FC236}">
                  <a16:creationId xmlns:a16="http://schemas.microsoft.com/office/drawing/2014/main" id="{00000000-0008-0000-0D00-00000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xdr:row>
          <xdr:rowOff>0</xdr:rowOff>
        </xdr:from>
        <xdr:to>
          <xdr:col>8</xdr:col>
          <xdr:colOff>30480</xdr:colOff>
          <xdr:row>12</xdr:row>
          <xdr:rowOff>0</xdr:rowOff>
        </xdr:to>
        <xdr:sp macro="" textlink="">
          <xdr:nvSpPr>
            <xdr:cNvPr id="6156" name="Scroll Bar 12" hidden="1">
              <a:extLst>
                <a:ext uri="{63B3BB69-23CF-44E3-9099-C40C66FF867C}">
                  <a14:compatExt spid="_x0000_s6156"/>
                </a:ext>
                <a:ext uri="{FF2B5EF4-FFF2-40B4-BE49-F238E27FC236}">
                  <a16:creationId xmlns:a16="http://schemas.microsoft.com/office/drawing/2014/main" id="{00000000-0008-0000-0D00-00000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xdr:row>
          <xdr:rowOff>0</xdr:rowOff>
        </xdr:from>
        <xdr:to>
          <xdr:col>8</xdr:col>
          <xdr:colOff>30480</xdr:colOff>
          <xdr:row>13</xdr:row>
          <xdr:rowOff>0</xdr:rowOff>
        </xdr:to>
        <xdr:sp macro="" textlink="">
          <xdr:nvSpPr>
            <xdr:cNvPr id="6157" name="Scroll Bar 13" hidden="1">
              <a:extLst>
                <a:ext uri="{63B3BB69-23CF-44E3-9099-C40C66FF867C}">
                  <a14:compatExt spid="_x0000_s6157"/>
                </a:ext>
                <a:ext uri="{FF2B5EF4-FFF2-40B4-BE49-F238E27FC236}">
                  <a16:creationId xmlns:a16="http://schemas.microsoft.com/office/drawing/2014/main" id="{00000000-0008-0000-0D00-00000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xdr:row>
          <xdr:rowOff>0</xdr:rowOff>
        </xdr:from>
        <xdr:to>
          <xdr:col>8</xdr:col>
          <xdr:colOff>30480</xdr:colOff>
          <xdr:row>14</xdr:row>
          <xdr:rowOff>0</xdr:rowOff>
        </xdr:to>
        <xdr:sp macro="" textlink="">
          <xdr:nvSpPr>
            <xdr:cNvPr id="6158" name="Scroll Bar 14" hidden="1">
              <a:extLst>
                <a:ext uri="{63B3BB69-23CF-44E3-9099-C40C66FF867C}">
                  <a14:compatExt spid="_x0000_s6158"/>
                </a:ext>
                <a:ext uri="{FF2B5EF4-FFF2-40B4-BE49-F238E27FC236}">
                  <a16:creationId xmlns:a16="http://schemas.microsoft.com/office/drawing/2014/main" id="{00000000-0008-0000-0D00-00000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xdr:row>
          <xdr:rowOff>0</xdr:rowOff>
        </xdr:from>
        <xdr:to>
          <xdr:col>8</xdr:col>
          <xdr:colOff>30480</xdr:colOff>
          <xdr:row>14</xdr:row>
          <xdr:rowOff>182880</xdr:rowOff>
        </xdr:to>
        <xdr:sp macro="" textlink="">
          <xdr:nvSpPr>
            <xdr:cNvPr id="6159" name="Scroll Bar 15" hidden="1">
              <a:extLst>
                <a:ext uri="{63B3BB69-23CF-44E3-9099-C40C66FF867C}">
                  <a14:compatExt spid="_x0000_s6159"/>
                </a:ext>
                <a:ext uri="{FF2B5EF4-FFF2-40B4-BE49-F238E27FC236}">
                  <a16:creationId xmlns:a16="http://schemas.microsoft.com/office/drawing/2014/main" id="{00000000-0008-0000-0D00-00000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182880</xdr:rowOff>
        </xdr:from>
        <xdr:to>
          <xdr:col>8</xdr:col>
          <xdr:colOff>30480</xdr:colOff>
          <xdr:row>16</xdr:row>
          <xdr:rowOff>182880</xdr:rowOff>
        </xdr:to>
        <xdr:sp macro="" textlink="">
          <xdr:nvSpPr>
            <xdr:cNvPr id="6161" name="Scroll Bar 17" hidden="1">
              <a:extLst>
                <a:ext uri="{63B3BB69-23CF-44E3-9099-C40C66FF867C}">
                  <a14:compatExt spid="_x0000_s6161"/>
                </a:ext>
                <a:ext uri="{FF2B5EF4-FFF2-40B4-BE49-F238E27FC236}">
                  <a16:creationId xmlns:a16="http://schemas.microsoft.com/office/drawing/2014/main" id="{00000000-0008-0000-0D00-00001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25</xdr:row>
          <xdr:rowOff>30480</xdr:rowOff>
        </xdr:from>
        <xdr:to>
          <xdr:col>8</xdr:col>
          <xdr:colOff>30480</xdr:colOff>
          <xdr:row>26</xdr:row>
          <xdr:rowOff>30480</xdr:rowOff>
        </xdr:to>
        <xdr:sp macro="" textlink="">
          <xdr:nvSpPr>
            <xdr:cNvPr id="6171" name="Scroll Bar 27" hidden="1">
              <a:extLst>
                <a:ext uri="{63B3BB69-23CF-44E3-9099-C40C66FF867C}">
                  <a14:compatExt spid="_x0000_s6171"/>
                </a:ext>
                <a:ext uri="{FF2B5EF4-FFF2-40B4-BE49-F238E27FC236}">
                  <a16:creationId xmlns:a16="http://schemas.microsoft.com/office/drawing/2014/main" id="{00000000-0008-0000-0D00-00001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xdr:row>
          <xdr:rowOff>0</xdr:rowOff>
        </xdr:from>
        <xdr:to>
          <xdr:col>8</xdr:col>
          <xdr:colOff>30480</xdr:colOff>
          <xdr:row>27</xdr:row>
          <xdr:rowOff>0</xdr:rowOff>
        </xdr:to>
        <xdr:sp macro="" textlink="">
          <xdr:nvSpPr>
            <xdr:cNvPr id="6174" name="Scroll Bar 30" hidden="1">
              <a:extLst>
                <a:ext uri="{63B3BB69-23CF-44E3-9099-C40C66FF867C}">
                  <a14:compatExt spid="_x0000_s6174"/>
                </a:ext>
                <a:ext uri="{FF2B5EF4-FFF2-40B4-BE49-F238E27FC236}">
                  <a16:creationId xmlns:a16="http://schemas.microsoft.com/office/drawing/2014/main" id="{00000000-0008-0000-0D00-00001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15240</xdr:rowOff>
        </xdr:from>
        <xdr:to>
          <xdr:col>8</xdr:col>
          <xdr:colOff>30480</xdr:colOff>
          <xdr:row>29</xdr:row>
          <xdr:rowOff>30480</xdr:rowOff>
        </xdr:to>
        <xdr:sp macro="" textlink="">
          <xdr:nvSpPr>
            <xdr:cNvPr id="6175" name="Scroll Bar 31" hidden="1">
              <a:extLst>
                <a:ext uri="{63B3BB69-23CF-44E3-9099-C40C66FF867C}">
                  <a14:compatExt spid="_x0000_s6175"/>
                </a:ext>
                <a:ext uri="{FF2B5EF4-FFF2-40B4-BE49-F238E27FC236}">
                  <a16:creationId xmlns:a16="http://schemas.microsoft.com/office/drawing/2014/main" id="{00000000-0008-0000-0D00-00001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xdr:row>
          <xdr:rowOff>0</xdr:rowOff>
        </xdr:from>
        <xdr:to>
          <xdr:col>8</xdr:col>
          <xdr:colOff>30480</xdr:colOff>
          <xdr:row>30</xdr:row>
          <xdr:rowOff>0</xdr:rowOff>
        </xdr:to>
        <xdr:sp macro="" textlink="">
          <xdr:nvSpPr>
            <xdr:cNvPr id="6176" name="Scroll Bar 32" hidden="1">
              <a:extLst>
                <a:ext uri="{63B3BB69-23CF-44E3-9099-C40C66FF867C}">
                  <a14:compatExt spid="_x0000_s6176"/>
                </a:ext>
                <a:ext uri="{FF2B5EF4-FFF2-40B4-BE49-F238E27FC236}">
                  <a16:creationId xmlns:a16="http://schemas.microsoft.com/office/drawing/2014/main" id="{00000000-0008-0000-0D00-000020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0</xdr:rowOff>
        </xdr:from>
        <xdr:to>
          <xdr:col>8</xdr:col>
          <xdr:colOff>30480</xdr:colOff>
          <xdr:row>32</xdr:row>
          <xdr:rowOff>0</xdr:rowOff>
        </xdr:to>
        <xdr:sp macro="" textlink="">
          <xdr:nvSpPr>
            <xdr:cNvPr id="6177" name="Scroll Bar 33" hidden="1">
              <a:extLst>
                <a:ext uri="{63B3BB69-23CF-44E3-9099-C40C66FF867C}">
                  <a14:compatExt spid="_x0000_s6177"/>
                </a:ext>
                <a:ext uri="{FF2B5EF4-FFF2-40B4-BE49-F238E27FC236}">
                  <a16:creationId xmlns:a16="http://schemas.microsoft.com/office/drawing/2014/main" id="{00000000-0008-0000-0D00-00002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182880</xdr:rowOff>
        </xdr:from>
        <xdr:to>
          <xdr:col>8</xdr:col>
          <xdr:colOff>30480</xdr:colOff>
          <xdr:row>32</xdr:row>
          <xdr:rowOff>182880</xdr:rowOff>
        </xdr:to>
        <xdr:sp macro="" textlink="">
          <xdr:nvSpPr>
            <xdr:cNvPr id="6178" name="Scroll Bar 34" hidden="1">
              <a:extLst>
                <a:ext uri="{63B3BB69-23CF-44E3-9099-C40C66FF867C}">
                  <a14:compatExt spid="_x0000_s6178"/>
                </a:ext>
                <a:ext uri="{FF2B5EF4-FFF2-40B4-BE49-F238E27FC236}">
                  <a16:creationId xmlns:a16="http://schemas.microsoft.com/office/drawing/2014/main" id="{00000000-0008-0000-0D00-00002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33</xdr:row>
          <xdr:rowOff>0</xdr:rowOff>
        </xdr:from>
        <xdr:to>
          <xdr:col>8</xdr:col>
          <xdr:colOff>15240</xdr:colOff>
          <xdr:row>34</xdr:row>
          <xdr:rowOff>0</xdr:rowOff>
        </xdr:to>
        <xdr:sp macro="" textlink="">
          <xdr:nvSpPr>
            <xdr:cNvPr id="6179" name="Scroll Bar 35" hidden="1">
              <a:extLst>
                <a:ext uri="{63B3BB69-23CF-44E3-9099-C40C66FF867C}">
                  <a14:compatExt spid="_x0000_s6179"/>
                </a:ext>
                <a:ext uri="{FF2B5EF4-FFF2-40B4-BE49-F238E27FC236}">
                  <a16:creationId xmlns:a16="http://schemas.microsoft.com/office/drawing/2014/main" id="{00000000-0008-0000-0D00-00002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10</xdr:col>
      <xdr:colOff>571500</xdr:colOff>
      <xdr:row>0</xdr:row>
      <xdr:rowOff>0</xdr:rowOff>
    </xdr:from>
    <xdr:to>
      <xdr:col>14</xdr:col>
      <xdr:colOff>0</xdr:colOff>
      <xdr:row>1</xdr:row>
      <xdr:rowOff>0</xdr:rowOff>
    </xdr:to>
    <xdr:sp macro="" textlink="Dashboard">
      <xdr:nvSpPr>
        <xdr:cNvPr id="62" name="Chevron 61">
          <a:hlinkClick xmlns:r="http://schemas.openxmlformats.org/officeDocument/2006/relationships" r:id="rId1"/>
          <a:extLst>
            <a:ext uri="{FF2B5EF4-FFF2-40B4-BE49-F238E27FC236}">
              <a16:creationId xmlns:a16="http://schemas.microsoft.com/office/drawing/2014/main" id="{00000000-0008-0000-0D00-00003E000000}"/>
            </a:ext>
          </a:extLst>
        </xdr:cNvPr>
        <xdr:cNvSpPr/>
      </xdr:nvSpPr>
      <xdr:spPr>
        <a:xfrm>
          <a:off x="10417969" y="0"/>
          <a:ext cx="2524125" cy="357188"/>
        </a:xfrm>
        <a:prstGeom prst="chevron">
          <a:avLst/>
        </a:prstGeom>
        <a:solidFill>
          <a:srgbClr val="00B0F0"/>
        </a:solidFill>
        <a:ln/>
        <a:effectLst>
          <a:outerShdw blurRad="57150" dist="19050" dir="5400000" algn="ctr" rotWithShape="0">
            <a:srgbClr val="000000">
              <a:alpha val="63000"/>
            </a:srgbClr>
          </a:outerShdw>
          <a:softEdge rad="127000"/>
        </a:effectLst>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fld id="{65280306-AE6E-4D68-85F9-11DABE26E34A}" type="TxLink">
            <a:rPr lang="en-US" sz="1800" b="1" i="0" u="none" strike="noStrike">
              <a:solidFill>
                <a:schemeClr val="bg1"/>
              </a:solidFill>
              <a:latin typeface="Calibri"/>
            </a:rPr>
            <a:pPr algn="ctr"/>
            <a:t>Dashboard</a:t>
          </a:fld>
          <a:endParaRPr lang="en-IN" sz="18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144780</xdr:colOff>
          <xdr:row>2</xdr:row>
          <xdr:rowOff>106680</xdr:rowOff>
        </xdr:from>
        <xdr:to>
          <xdr:col>5</xdr:col>
          <xdr:colOff>0</xdr:colOff>
          <xdr:row>2</xdr:row>
          <xdr:rowOff>487680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D00-00002A1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Reset Parameter Weights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xdr:row>
          <xdr:rowOff>15240</xdr:rowOff>
        </xdr:from>
        <xdr:to>
          <xdr:col>4</xdr:col>
          <xdr:colOff>1043940</xdr:colOff>
          <xdr:row>4</xdr:row>
          <xdr:rowOff>0</xdr:rowOff>
        </xdr:to>
        <xdr:sp macro="" textlink="">
          <xdr:nvSpPr>
            <xdr:cNvPr id="6187" name="Scroll Bar 43" hidden="1">
              <a:extLst>
                <a:ext uri="{63B3BB69-23CF-44E3-9099-C40C66FF867C}">
                  <a14:compatExt spid="_x0000_s6187"/>
                </a:ext>
                <a:ext uri="{FF2B5EF4-FFF2-40B4-BE49-F238E27FC236}">
                  <a16:creationId xmlns:a16="http://schemas.microsoft.com/office/drawing/2014/main" id="{00000000-0008-0000-0D00-00002B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xdr:row>
          <xdr:rowOff>0</xdr:rowOff>
        </xdr:from>
        <xdr:to>
          <xdr:col>4</xdr:col>
          <xdr:colOff>1028700</xdr:colOff>
          <xdr:row>9</xdr:row>
          <xdr:rowOff>0</xdr:rowOff>
        </xdr:to>
        <xdr:sp macro="" textlink="">
          <xdr:nvSpPr>
            <xdr:cNvPr id="6188" name="Scroll Bar 44" hidden="1">
              <a:extLst>
                <a:ext uri="{63B3BB69-23CF-44E3-9099-C40C66FF867C}">
                  <a14:compatExt spid="_x0000_s6188"/>
                </a:ext>
                <a:ext uri="{FF2B5EF4-FFF2-40B4-BE49-F238E27FC236}">
                  <a16:creationId xmlns:a16="http://schemas.microsoft.com/office/drawing/2014/main" id="{00000000-0008-0000-0D00-00002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15</xdr:row>
          <xdr:rowOff>0</xdr:rowOff>
        </xdr:from>
        <xdr:to>
          <xdr:col>4</xdr:col>
          <xdr:colOff>1059180</xdr:colOff>
          <xdr:row>16</xdr:row>
          <xdr:rowOff>0</xdr:rowOff>
        </xdr:to>
        <xdr:sp macro="" textlink="">
          <xdr:nvSpPr>
            <xdr:cNvPr id="6189" name="Scroll Bar 45" hidden="1">
              <a:extLst>
                <a:ext uri="{63B3BB69-23CF-44E3-9099-C40C66FF867C}">
                  <a14:compatExt spid="_x0000_s6189"/>
                </a:ext>
                <a:ext uri="{FF2B5EF4-FFF2-40B4-BE49-F238E27FC236}">
                  <a16:creationId xmlns:a16="http://schemas.microsoft.com/office/drawing/2014/main" id="{00000000-0008-0000-0D00-00002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26</xdr:row>
          <xdr:rowOff>182880</xdr:rowOff>
        </xdr:from>
        <xdr:to>
          <xdr:col>4</xdr:col>
          <xdr:colOff>1059180</xdr:colOff>
          <xdr:row>27</xdr:row>
          <xdr:rowOff>182880</xdr:rowOff>
        </xdr:to>
        <xdr:sp macro="" textlink="">
          <xdr:nvSpPr>
            <xdr:cNvPr id="6190" name="Scroll Bar 46" hidden="1">
              <a:extLst>
                <a:ext uri="{63B3BB69-23CF-44E3-9099-C40C66FF867C}">
                  <a14:compatExt spid="_x0000_s6190"/>
                </a:ext>
                <a:ext uri="{FF2B5EF4-FFF2-40B4-BE49-F238E27FC236}">
                  <a16:creationId xmlns:a16="http://schemas.microsoft.com/office/drawing/2014/main" id="{00000000-0008-0000-0D00-00002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30</xdr:row>
          <xdr:rowOff>0</xdr:rowOff>
        </xdr:from>
        <xdr:to>
          <xdr:col>4</xdr:col>
          <xdr:colOff>1028700</xdr:colOff>
          <xdr:row>31</xdr:row>
          <xdr:rowOff>0</xdr:rowOff>
        </xdr:to>
        <xdr:sp macro="" textlink="">
          <xdr:nvSpPr>
            <xdr:cNvPr id="6191" name="Scroll Bar 47" hidden="1">
              <a:extLst>
                <a:ext uri="{63B3BB69-23CF-44E3-9099-C40C66FF867C}">
                  <a14:compatExt spid="_x0000_s6191"/>
                </a:ext>
                <a:ext uri="{FF2B5EF4-FFF2-40B4-BE49-F238E27FC236}">
                  <a16:creationId xmlns:a16="http://schemas.microsoft.com/office/drawing/2014/main" id="{00000000-0008-0000-0D00-00002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24</xdr:row>
          <xdr:rowOff>0</xdr:rowOff>
        </xdr:from>
        <xdr:to>
          <xdr:col>7</xdr:col>
          <xdr:colOff>944880</xdr:colOff>
          <xdr:row>24</xdr:row>
          <xdr:rowOff>182880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D00-00003018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167640</xdr:rowOff>
        </xdr:from>
        <xdr:to>
          <xdr:col>8</xdr:col>
          <xdr:colOff>30480</xdr:colOff>
          <xdr:row>17</xdr:row>
          <xdr:rowOff>152400</xdr:rowOff>
        </xdr:to>
        <xdr:sp macro="" textlink="">
          <xdr:nvSpPr>
            <xdr:cNvPr id="6193" name="Scroll Bar 49" hidden="1">
              <a:extLst>
                <a:ext uri="{63B3BB69-23CF-44E3-9099-C40C66FF867C}">
                  <a14:compatExt spid="_x0000_s6193"/>
                </a:ext>
                <a:ext uri="{FF2B5EF4-FFF2-40B4-BE49-F238E27FC236}">
                  <a16:creationId xmlns:a16="http://schemas.microsoft.com/office/drawing/2014/main" id="{00000000-0008-0000-0D00-00003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182880</xdr:rowOff>
        </xdr:from>
        <xdr:to>
          <xdr:col>8</xdr:col>
          <xdr:colOff>30480</xdr:colOff>
          <xdr:row>18</xdr:row>
          <xdr:rowOff>182880</xdr:rowOff>
        </xdr:to>
        <xdr:sp macro="" textlink="">
          <xdr:nvSpPr>
            <xdr:cNvPr id="6195" name="Scroll Bar 51" hidden="1">
              <a:extLst>
                <a:ext uri="{63B3BB69-23CF-44E3-9099-C40C66FF867C}">
                  <a14:compatExt spid="_x0000_s6195"/>
                </a:ext>
                <a:ext uri="{FF2B5EF4-FFF2-40B4-BE49-F238E27FC236}">
                  <a16:creationId xmlns:a16="http://schemas.microsoft.com/office/drawing/2014/main" id="{00000000-0008-0000-0D00-00003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182880</xdr:rowOff>
        </xdr:from>
        <xdr:to>
          <xdr:col>8</xdr:col>
          <xdr:colOff>30480</xdr:colOff>
          <xdr:row>19</xdr:row>
          <xdr:rowOff>182880</xdr:rowOff>
        </xdr:to>
        <xdr:sp macro="" textlink="">
          <xdr:nvSpPr>
            <xdr:cNvPr id="6197" name="Scroll Bar 53" hidden="1">
              <a:extLst>
                <a:ext uri="{63B3BB69-23CF-44E3-9099-C40C66FF867C}">
                  <a14:compatExt spid="_x0000_s6197"/>
                </a:ext>
                <a:ext uri="{FF2B5EF4-FFF2-40B4-BE49-F238E27FC236}">
                  <a16:creationId xmlns:a16="http://schemas.microsoft.com/office/drawing/2014/main" id="{00000000-0008-0000-0D00-00003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182880</xdr:rowOff>
        </xdr:from>
        <xdr:to>
          <xdr:col>8</xdr:col>
          <xdr:colOff>30480</xdr:colOff>
          <xdr:row>20</xdr:row>
          <xdr:rowOff>182880</xdr:rowOff>
        </xdr:to>
        <xdr:sp macro="" textlink="">
          <xdr:nvSpPr>
            <xdr:cNvPr id="6198" name="Scroll Bar 54" hidden="1">
              <a:extLst>
                <a:ext uri="{63B3BB69-23CF-44E3-9099-C40C66FF867C}">
                  <a14:compatExt spid="_x0000_s6198"/>
                </a:ext>
                <a:ext uri="{FF2B5EF4-FFF2-40B4-BE49-F238E27FC236}">
                  <a16:creationId xmlns:a16="http://schemas.microsoft.com/office/drawing/2014/main" id="{00000000-0008-0000-0D00-00003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182880</xdr:rowOff>
        </xdr:from>
        <xdr:to>
          <xdr:col>8</xdr:col>
          <xdr:colOff>30480</xdr:colOff>
          <xdr:row>22</xdr:row>
          <xdr:rowOff>182880</xdr:rowOff>
        </xdr:to>
        <xdr:sp macro="" textlink="">
          <xdr:nvSpPr>
            <xdr:cNvPr id="6199" name="Scroll Bar 55" hidden="1">
              <a:extLst>
                <a:ext uri="{63B3BB69-23CF-44E3-9099-C40C66FF867C}">
                  <a14:compatExt spid="_x0000_s6199"/>
                </a:ext>
                <a:ext uri="{FF2B5EF4-FFF2-40B4-BE49-F238E27FC236}">
                  <a16:creationId xmlns:a16="http://schemas.microsoft.com/office/drawing/2014/main" id="{00000000-0008-0000-0D00-00003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24</xdr:row>
          <xdr:rowOff>0</xdr:rowOff>
        </xdr:from>
        <xdr:to>
          <xdr:col>4</xdr:col>
          <xdr:colOff>1059180</xdr:colOff>
          <xdr:row>25</xdr:row>
          <xdr:rowOff>0</xdr:rowOff>
        </xdr:to>
        <xdr:sp macro="" textlink="">
          <xdr:nvSpPr>
            <xdr:cNvPr id="6200" name="Scroll Bar 56" hidden="1">
              <a:extLst>
                <a:ext uri="{63B3BB69-23CF-44E3-9099-C40C66FF867C}">
                  <a14:compatExt spid="_x0000_s6200"/>
                </a:ext>
                <a:ext uri="{FF2B5EF4-FFF2-40B4-BE49-F238E27FC236}">
                  <a16:creationId xmlns:a16="http://schemas.microsoft.com/office/drawing/2014/main" id="{00000000-0008-0000-0D00-00003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182880</xdr:rowOff>
        </xdr:from>
        <xdr:to>
          <xdr:col>8</xdr:col>
          <xdr:colOff>30480</xdr:colOff>
          <xdr:row>21</xdr:row>
          <xdr:rowOff>182880</xdr:rowOff>
        </xdr:to>
        <xdr:sp macro="" textlink="">
          <xdr:nvSpPr>
            <xdr:cNvPr id="6204" name="Scroll Bar 60" hidden="1">
              <a:extLst>
                <a:ext uri="{63B3BB69-23CF-44E3-9099-C40C66FF867C}">
                  <a14:compatExt spid="_x0000_s6204"/>
                </a:ext>
                <a:ext uri="{FF2B5EF4-FFF2-40B4-BE49-F238E27FC236}">
                  <a16:creationId xmlns:a16="http://schemas.microsoft.com/office/drawing/2014/main" id="{00000000-0008-0000-0D00-00003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14</xdr:col>
          <xdr:colOff>0</xdr:colOff>
          <xdr:row>38</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D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297180</xdr:rowOff>
        </xdr:from>
        <xdr:to>
          <xdr:col>14</xdr:col>
          <xdr:colOff>0</xdr:colOff>
          <xdr:row>38</xdr:row>
          <xdr:rowOff>152400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D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167640</xdr:rowOff>
        </xdr:from>
        <xdr:to>
          <xdr:col>14</xdr:col>
          <xdr:colOff>0</xdr:colOff>
          <xdr:row>39</xdr:row>
          <xdr:rowOff>182880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D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167640</xdr:rowOff>
        </xdr:from>
        <xdr:to>
          <xdr:col>14</xdr:col>
          <xdr:colOff>0</xdr:colOff>
          <xdr:row>41</xdr:row>
          <xdr:rowOff>182880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D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167640</xdr:rowOff>
        </xdr:from>
        <xdr:to>
          <xdr:col>14</xdr:col>
          <xdr:colOff>0</xdr:colOff>
          <xdr:row>42</xdr:row>
          <xdr:rowOff>182880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D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167640</xdr:rowOff>
        </xdr:from>
        <xdr:to>
          <xdr:col>14</xdr:col>
          <xdr:colOff>0</xdr:colOff>
          <xdr:row>43</xdr:row>
          <xdr:rowOff>182880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D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167640</xdr:rowOff>
        </xdr:from>
        <xdr:to>
          <xdr:col>14</xdr:col>
          <xdr:colOff>0</xdr:colOff>
          <xdr:row>44</xdr:row>
          <xdr:rowOff>182880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D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167640</xdr:rowOff>
        </xdr:from>
        <xdr:to>
          <xdr:col>14</xdr:col>
          <xdr:colOff>0</xdr:colOff>
          <xdr:row>45</xdr:row>
          <xdr:rowOff>182880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D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167640</xdr:rowOff>
        </xdr:from>
        <xdr:to>
          <xdr:col>14</xdr:col>
          <xdr:colOff>0</xdr:colOff>
          <xdr:row>46</xdr:row>
          <xdr:rowOff>182880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D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167640</xdr:rowOff>
        </xdr:from>
        <xdr:to>
          <xdr:col>14</xdr:col>
          <xdr:colOff>0</xdr:colOff>
          <xdr:row>47</xdr:row>
          <xdr:rowOff>182880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D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167640</xdr:rowOff>
        </xdr:from>
        <xdr:to>
          <xdr:col>13</xdr:col>
          <xdr:colOff>777240</xdr:colOff>
          <xdr:row>49</xdr:row>
          <xdr:rowOff>15240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D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182880</xdr:rowOff>
        </xdr:from>
        <xdr:to>
          <xdr:col>8</xdr:col>
          <xdr:colOff>30480</xdr:colOff>
          <xdr:row>23</xdr:row>
          <xdr:rowOff>182880</xdr:rowOff>
        </xdr:to>
        <xdr:sp macro="" textlink="">
          <xdr:nvSpPr>
            <xdr:cNvPr id="6255" name="Scroll Bar 111" hidden="1">
              <a:extLst>
                <a:ext uri="{63B3BB69-23CF-44E3-9099-C40C66FF867C}">
                  <a14:compatExt spid="_x0000_s6255"/>
                </a:ext>
                <a:ext uri="{FF2B5EF4-FFF2-40B4-BE49-F238E27FC236}">
                  <a16:creationId xmlns:a16="http://schemas.microsoft.com/office/drawing/2014/main" id="{00000000-0008-0000-0D00-00006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182880</xdr:rowOff>
        </xdr:from>
        <xdr:to>
          <xdr:col>13</xdr:col>
          <xdr:colOff>777240</xdr:colOff>
          <xdr:row>50</xdr:row>
          <xdr:rowOff>30480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D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49</xdr:row>
          <xdr:rowOff>182880</xdr:rowOff>
        </xdr:from>
        <xdr:to>
          <xdr:col>14</xdr:col>
          <xdr:colOff>15240</xdr:colOff>
          <xdr:row>51</xdr:row>
          <xdr:rowOff>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D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50</xdr:row>
          <xdr:rowOff>182880</xdr:rowOff>
        </xdr:from>
        <xdr:to>
          <xdr:col>14</xdr:col>
          <xdr:colOff>15240</xdr:colOff>
          <xdr:row>52</xdr:row>
          <xdr:rowOff>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D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51</xdr:row>
          <xdr:rowOff>182880</xdr:rowOff>
        </xdr:from>
        <xdr:to>
          <xdr:col>14</xdr:col>
          <xdr:colOff>15240</xdr:colOff>
          <xdr:row>53</xdr:row>
          <xdr:rowOff>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D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25</xdr:col>
      <xdr:colOff>1131794</xdr:colOff>
      <xdr:row>195</xdr:row>
      <xdr:rowOff>23533</xdr:rowOff>
    </xdr:from>
    <xdr:to>
      <xdr:col>28</xdr:col>
      <xdr:colOff>1389529</xdr:colOff>
      <xdr:row>202</xdr:row>
      <xdr:rowOff>33617</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J\I\OMB_9_21\FY07_PB_VA_Housing_Model_Revised_12_3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aveena/PPP%20Toolkit/Draft%20PST%20Tool_WIP_PC_23032017_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J\D\Documents%20and%20Settings\akuhlkin\Local%20Settings\Temporary%20Internet%20Files\OLK1C\Model\Test%20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J\Documents%20and%20Settings\Sameer%20Parikh\My%20Documents\Projects\DOE-LGO\TIFIA%20SCORING%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J\Documents%20and%20Settings\Brian%20Heitman\Desktop\VA%20Models\Final%20Deliverables\Housing%20Model\VA_Housing_Model_2007092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neDrive/ASSIGNMENTS/0_GP%202016/W3B2%20TAP/EVALUATION%20RECORD/file:/J:/Subtask%20%232007-1/UNDERWRITING%20&amp;%20CREDIT%20SUBSIDY/031708%20LGPO%20Credit%20Subsidy%20Cash%20Flow%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J\Documents%20and%20Settings\boakly\Local%20Settings\Temporary%20Internet%20Files\OLK61\07_Reest_Transitional_Housing_Model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umyas/Documents/Office/PPP%20Screening%20Tool/Draft%20Version/Draft%20PST%20Tool_WIP_24032017_v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umyas/Documents/Office/PPP%20Screening%20Tool/Draft%20Version/Second%20Draft/PPP%20Screening%20Tool_SS_04042017v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quidating Plan"/>
      <sheetName val="Volume_Guar_04"/>
      <sheetName val="GuarActuals"/>
      <sheetName val="VenActuals"/>
      <sheetName val="AcqActuals"/>
      <sheetName val="SalesDetailActuals"/>
      <sheetName val="InterCalc"/>
      <sheetName val="LSActuals"/>
      <sheetName val="GuarInputs"/>
      <sheetName val="VenInputs"/>
      <sheetName val="AcqInputs"/>
      <sheetName val="LSInputs"/>
      <sheetName val="GuarCalc"/>
      <sheetName val="VenCalc"/>
      <sheetName val="AcqCalc"/>
      <sheetName val="LSCalc"/>
      <sheetName val="Charts"/>
      <sheetName val="Plan (P&amp;F)"/>
      <sheetName val="P&amp;F Detail"/>
      <sheetName val="Budget Tables"/>
      <sheetName val="SubsidyRates"/>
      <sheetName val="CSCOutput"/>
      <sheetName val="CashFlows"/>
      <sheetName val="GuarActCF"/>
      <sheetName val="GuarFormCF"/>
      <sheetName val="VenActCF"/>
      <sheetName val="VenFormCF"/>
      <sheetName val="AcqActCF"/>
      <sheetName val="AcqFormCF"/>
      <sheetName val="LSActCF"/>
      <sheetName val="LSFormCF"/>
      <sheetName val="Module1"/>
      <sheetName val="Data Analysis"/>
    </sheetNames>
    <sheetDataSet>
      <sheetData sheetId="0" refreshError="1"/>
      <sheetData sheetId="1" refreshError="1"/>
      <sheetData sheetId="2" refreshError="1"/>
      <sheetData sheetId="3" refreshError="1">
        <row r="4">
          <cell r="D4">
            <v>2005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ASHBOARD"/>
      <sheetName val="1.  Project Suitability"/>
      <sheetName val="1. EN_PS "/>
      <sheetName val="2. Project Feasibility"/>
      <sheetName val="2. EN_PF"/>
      <sheetName val="3. PPP Ability"/>
      <sheetName val="3. EN_3PA"/>
      <sheetName val="4. Govt. Fiscal Affordability"/>
      <sheetName val="4. EN_GFA"/>
      <sheetName val="5. Govt Institutional Ability"/>
      <sheetName val="5. EN_GIA"/>
      <sheetName val="Pre PFS Screening Tool"/>
      <sheetName val="Sheet2"/>
      <sheetName val="Sheet1"/>
      <sheetName val="6."/>
      <sheetName val="7."/>
      <sheetName val="8."/>
      <sheetName val="9."/>
      <sheetName val="Results Summary"/>
      <sheetName val="Final Score"/>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7">
          <cell r="C17">
            <v>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1"/>
      <sheetName val="VA_Model"/>
      <sheetName val="DropDown"/>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SC Cashflows"/>
      <sheetName val="Lookup Ranges"/>
      <sheetName val="Recovery Data"/>
      <sheetName val="Default Data"/>
      <sheetName val="CSC Results"/>
    </sheetNames>
    <sheetDataSet>
      <sheetData sheetId="0" refreshError="1"/>
      <sheetData sheetId="1" refreshError="1"/>
      <sheetData sheetId="2" refreshError="1"/>
      <sheetData sheetId="3" refreshError="1">
        <row r="2">
          <cell r="L2">
            <v>1</v>
          </cell>
          <cell r="M2" t="str">
            <v>October</v>
          </cell>
        </row>
        <row r="3">
          <cell r="L3">
            <v>2</v>
          </cell>
          <cell r="M3" t="str">
            <v>November</v>
          </cell>
        </row>
        <row r="4">
          <cell r="L4">
            <v>3</v>
          </cell>
          <cell r="M4" t="str">
            <v>December</v>
          </cell>
        </row>
        <row r="5">
          <cell r="J5">
            <v>10</v>
          </cell>
          <cell r="L5">
            <v>4</v>
          </cell>
          <cell r="M5" t="str">
            <v>January</v>
          </cell>
        </row>
        <row r="6">
          <cell r="L6">
            <v>5</v>
          </cell>
          <cell r="M6" t="str">
            <v>February</v>
          </cell>
        </row>
        <row r="7">
          <cell r="L7">
            <v>6</v>
          </cell>
          <cell r="M7" t="str">
            <v>March</v>
          </cell>
        </row>
        <row r="8">
          <cell r="L8">
            <v>7</v>
          </cell>
          <cell r="M8" t="str">
            <v>April</v>
          </cell>
        </row>
        <row r="9">
          <cell r="L9">
            <v>8</v>
          </cell>
          <cell r="M9" t="str">
            <v>May</v>
          </cell>
        </row>
        <row r="10">
          <cell r="L10">
            <v>9</v>
          </cell>
          <cell r="M10" t="str">
            <v>June</v>
          </cell>
        </row>
        <row r="11">
          <cell r="L11">
            <v>10</v>
          </cell>
          <cell r="M11" t="str">
            <v>July</v>
          </cell>
        </row>
        <row r="12">
          <cell r="L12">
            <v>11</v>
          </cell>
          <cell r="M12" t="str">
            <v>August</v>
          </cell>
        </row>
        <row r="13">
          <cell r="L13">
            <v>12</v>
          </cell>
          <cell r="M13" t="str">
            <v>September</v>
          </cell>
        </row>
        <row r="18">
          <cell r="L18">
            <v>2</v>
          </cell>
        </row>
        <row r="30">
          <cell r="O30">
            <v>1</v>
          </cell>
        </row>
      </sheetData>
      <sheetData sheetId="4" refreshError="1">
        <row r="7">
          <cell r="A7" t="str">
            <v>General Obligation, States</v>
          </cell>
          <cell r="B7">
            <v>0.95</v>
          </cell>
          <cell r="C7">
            <v>0.64600000000000002</v>
          </cell>
        </row>
        <row r="8">
          <cell r="A8" t="str">
            <v>General Obligation, Cities and Counties</v>
          </cell>
          <cell r="B8">
            <v>0.84</v>
          </cell>
          <cell r="C8">
            <v>0.57120000000000004</v>
          </cell>
        </row>
        <row r="9">
          <cell r="A9" t="str">
            <v>General Obligation, Schools - elementary and secondary</v>
          </cell>
          <cell r="B9">
            <v>0.93</v>
          </cell>
          <cell r="C9">
            <v>0.63240000000000007</v>
          </cell>
        </row>
        <row r="10">
          <cell r="A10" t="str">
            <v>General Obligation, Special District Post-secondary Education</v>
          </cell>
          <cell r="B10">
            <v>0.84</v>
          </cell>
          <cell r="C10">
            <v>0.57120000000000004</v>
          </cell>
        </row>
        <row r="11">
          <cell r="A11" t="str">
            <v>General Obligation, Special District Non-utility</v>
          </cell>
          <cell r="B11">
            <v>0.81</v>
          </cell>
          <cell r="C11">
            <v>0.55080000000000007</v>
          </cell>
        </row>
        <row r="12">
          <cell r="A12" t="str">
            <v>General Obligation, Special District Utility</v>
          </cell>
          <cell r="B12">
            <v>0.73</v>
          </cell>
          <cell r="C12">
            <v>0.49640000000000001</v>
          </cell>
        </row>
        <row r="13">
          <cell r="A13" t="str">
            <v>Special Revenue, Airports</v>
          </cell>
          <cell r="B13">
            <v>0.81</v>
          </cell>
          <cell r="C13">
            <v>0.55080000000000007</v>
          </cell>
        </row>
        <row r="14">
          <cell r="A14" t="str">
            <v>Airport Limited tax-backed</v>
          </cell>
          <cell r="B14">
            <v>0.84</v>
          </cell>
          <cell r="C14">
            <v>0.57120000000000004</v>
          </cell>
        </row>
        <row r="15">
          <cell r="A15" t="str">
            <v>Special Revenue, Ports</v>
          </cell>
          <cell r="B15">
            <v>0.72</v>
          </cell>
          <cell r="C15">
            <v>0.48960000000000004</v>
          </cell>
        </row>
        <row r="16">
          <cell r="A16" t="str">
            <v>Ports Limited tax-backed</v>
          </cell>
          <cell r="B16">
            <v>0.78</v>
          </cell>
          <cell r="C16">
            <v>0.53040000000000009</v>
          </cell>
        </row>
        <row r="17">
          <cell r="A17" t="str">
            <v>Parking</v>
          </cell>
          <cell r="B17">
            <v>0.61</v>
          </cell>
          <cell r="C17">
            <v>0.4148</v>
          </cell>
        </row>
        <row r="18">
          <cell r="A18" t="str">
            <v>Toll Roads Existing</v>
          </cell>
          <cell r="B18">
            <v>0.69</v>
          </cell>
          <cell r="C18">
            <v>0.46920000000000001</v>
          </cell>
        </row>
        <row r="19">
          <cell r="A19" t="str">
            <v>Toll Roads New</v>
          </cell>
          <cell r="B19">
            <v>0.53</v>
          </cell>
          <cell r="C19">
            <v>0.36040000000000005</v>
          </cell>
        </row>
        <row r="20">
          <cell r="A20" t="str">
            <v>Bridges Existing</v>
          </cell>
          <cell r="B20">
            <v>0.61</v>
          </cell>
          <cell r="C20">
            <v>0.4148</v>
          </cell>
        </row>
        <row r="21">
          <cell r="A21" t="str">
            <v>Bridges New</v>
          </cell>
          <cell r="B21">
            <v>0.46</v>
          </cell>
          <cell r="C21">
            <v>0.31280000000000002</v>
          </cell>
        </row>
        <row r="22">
          <cell r="A22" t="str">
            <v>Sales Tax, Local</v>
          </cell>
          <cell r="B22">
            <v>0.76</v>
          </cell>
          <cell r="C22">
            <v>0.51680000000000004</v>
          </cell>
        </row>
        <row r="23">
          <cell r="A23" t="str">
            <v>Sales Tax, Statewide</v>
          </cell>
          <cell r="B23">
            <v>0.87</v>
          </cell>
          <cell r="C23">
            <v>0.59160000000000001</v>
          </cell>
        </row>
        <row r="24">
          <cell r="A24" t="str">
            <v>Gas Tax, Local</v>
          </cell>
          <cell r="B24">
            <v>0.72</v>
          </cell>
          <cell r="C24">
            <v>0.48960000000000004</v>
          </cell>
        </row>
        <row r="25">
          <cell r="A25" t="str">
            <v>Gas Tax, Statewide</v>
          </cell>
          <cell r="B25">
            <v>0.81</v>
          </cell>
          <cell r="C25">
            <v>0.55080000000000007</v>
          </cell>
        </row>
        <row r="26">
          <cell r="A26" t="str">
            <v>Gas &amp; Vehicle Registration, Local</v>
          </cell>
          <cell r="B26">
            <v>0.77</v>
          </cell>
          <cell r="C26">
            <v>0.52360000000000007</v>
          </cell>
        </row>
        <row r="27">
          <cell r="A27" t="str">
            <v>Gas &amp; Vehicle Registration, Statewide</v>
          </cell>
          <cell r="B27">
            <v>0.84</v>
          </cell>
          <cell r="C27">
            <v>0.57120000000000004</v>
          </cell>
        </row>
        <row r="28">
          <cell r="A28" t="str">
            <v>Guaranteed Entitlements/Tax</v>
          </cell>
          <cell r="B28">
            <v>0.84</v>
          </cell>
          <cell r="C28">
            <v>0.57120000000000004</v>
          </cell>
        </row>
        <row r="29">
          <cell r="A29" t="str">
            <v>Special Assessments, Mello Roos, TIFs</v>
          </cell>
          <cell r="B29">
            <v>0.61</v>
          </cell>
          <cell r="C29">
            <v>0.4148</v>
          </cell>
        </row>
        <row r="30">
          <cell r="A30" t="str">
            <v>Hotel/Motel Tax</v>
          </cell>
          <cell r="B30">
            <v>0.61</v>
          </cell>
          <cell r="C30">
            <v>0.4148</v>
          </cell>
        </row>
        <row r="31">
          <cell r="A31" t="str">
            <v>Rail/Transit, Existing</v>
          </cell>
          <cell r="B31">
            <v>0.5</v>
          </cell>
          <cell r="C31">
            <v>0.34</v>
          </cell>
        </row>
        <row r="32">
          <cell r="A32" t="str">
            <v>Rail/Transit, New</v>
          </cell>
          <cell r="B32">
            <v>0.3752860940857361</v>
          </cell>
          <cell r="C32">
            <v>0.25519454397830055</v>
          </cell>
        </row>
        <row r="35">
          <cell r="B35">
            <v>16</v>
          </cell>
        </row>
      </sheetData>
      <sheetData sheetId="5" refreshError="1">
        <row r="2">
          <cell r="A2" t="str">
            <v>Grade/Year</v>
          </cell>
          <cell r="B2" t="str">
            <v>AAA</v>
          </cell>
          <cell r="C2" t="str">
            <v>AA+</v>
          </cell>
          <cell r="D2" t="str">
            <v>AA</v>
          </cell>
          <cell r="E2" t="str">
            <v>AA-</v>
          </cell>
          <cell r="F2" t="str">
            <v>A+</v>
          </cell>
          <cell r="G2" t="str">
            <v>A</v>
          </cell>
          <cell r="H2" t="str">
            <v>A-</v>
          </cell>
          <cell r="I2" t="str">
            <v>BBB+</v>
          </cell>
          <cell r="J2" t="str">
            <v>BBB</v>
          </cell>
          <cell r="K2" t="str">
            <v>BBB-</v>
          </cell>
          <cell r="L2" t="str">
            <v>BB+</v>
          </cell>
          <cell r="M2" t="str">
            <v>BB</v>
          </cell>
          <cell r="N2" t="str">
            <v>BB-</v>
          </cell>
          <cell r="O2" t="str">
            <v>B+</v>
          </cell>
          <cell r="P2" t="str">
            <v>B</v>
          </cell>
          <cell r="Q2" t="str">
            <v>B-</v>
          </cell>
          <cell r="R2" t="str">
            <v>CCC</v>
          </cell>
        </row>
        <row r="3">
          <cell r="A3">
            <v>0</v>
          </cell>
          <cell r="B3">
            <v>0</v>
          </cell>
          <cell r="C3">
            <v>0</v>
          </cell>
          <cell r="D3">
            <v>0</v>
          </cell>
          <cell r="E3">
            <v>0</v>
          </cell>
          <cell r="F3">
            <v>2.3136000000000001E-4</v>
          </cell>
          <cell r="G3">
            <v>4.6272000000000001E-4</v>
          </cell>
          <cell r="H3">
            <v>6.9408000000000002E-4</v>
          </cell>
          <cell r="I3">
            <v>1.5564433333333334E-3</v>
          </cell>
          <cell r="J3">
            <v>2.4188066666666667E-3</v>
          </cell>
          <cell r="K3">
            <v>3.2811699999999999E-3</v>
          </cell>
          <cell r="L3">
            <v>5.6401866666666665E-3</v>
          </cell>
          <cell r="M3">
            <v>7.999203333333333E-3</v>
          </cell>
          <cell r="N3">
            <v>1.035822E-2</v>
          </cell>
          <cell r="O3">
            <v>3.6871359999999992E-2</v>
          </cell>
          <cell r="P3">
            <v>6.3384499999999983E-2</v>
          </cell>
          <cell r="Q3">
            <v>8.9897639999999987E-2</v>
          </cell>
          <cell r="R3">
            <v>0.17682312</v>
          </cell>
        </row>
        <row r="4">
          <cell r="A4">
            <v>1</v>
          </cell>
          <cell r="B4">
            <v>0</v>
          </cell>
          <cell r="C4">
            <v>0</v>
          </cell>
          <cell r="D4">
            <v>0</v>
          </cell>
          <cell r="E4">
            <v>2.3136000000000001E-4</v>
          </cell>
          <cell r="F4">
            <v>4.6272000000000001E-4</v>
          </cell>
          <cell r="G4">
            <v>6.9408000000000002E-4</v>
          </cell>
          <cell r="H4">
            <v>1.5564433333333334E-3</v>
          </cell>
          <cell r="I4">
            <v>2.4188066666666667E-3</v>
          </cell>
          <cell r="J4">
            <v>3.2811699999999999E-3</v>
          </cell>
          <cell r="K4">
            <v>5.6401866666666665E-3</v>
          </cell>
          <cell r="L4">
            <v>7.999203333333333E-3</v>
          </cell>
          <cell r="M4">
            <v>1.035822E-2</v>
          </cell>
          <cell r="N4">
            <v>3.6871359999999992E-2</v>
          </cell>
          <cell r="O4">
            <v>6.3384499999999983E-2</v>
          </cell>
          <cell r="P4">
            <v>8.9897639999999987E-2</v>
          </cell>
          <cell r="Q4">
            <v>0.17682312</v>
          </cell>
          <cell r="R4">
            <v>0.2637486</v>
          </cell>
        </row>
        <row r="5">
          <cell r="A5">
            <v>2</v>
          </cell>
          <cell r="B5">
            <v>0</v>
          </cell>
          <cell r="C5">
            <v>0</v>
          </cell>
          <cell r="D5">
            <v>0</v>
          </cell>
          <cell r="E5">
            <v>5.9499666666666662E-4</v>
          </cell>
          <cell r="F5">
            <v>1.1899933333333332E-3</v>
          </cell>
          <cell r="G5">
            <v>1.78499E-3</v>
          </cell>
          <cell r="H5">
            <v>3.5608566666666666E-3</v>
          </cell>
          <cell r="I5">
            <v>5.336723333333333E-3</v>
          </cell>
          <cell r="J5">
            <v>7.1125899999999994E-3</v>
          </cell>
          <cell r="K5">
            <v>1.4424996666666665E-2</v>
          </cell>
          <cell r="L5">
            <v>2.1737403333333332E-2</v>
          </cell>
          <cell r="M5">
            <v>2.9049809999999999E-2</v>
          </cell>
          <cell r="N5">
            <v>7.8234153333333334E-2</v>
          </cell>
          <cell r="O5">
            <v>0.12741849666666666</v>
          </cell>
          <cell r="P5">
            <v>0.17660284000000001</v>
          </cell>
          <cell r="Q5">
            <v>0.26354306500000002</v>
          </cell>
          <cell r="R5">
            <v>0.35048329</v>
          </cell>
        </row>
        <row r="6">
          <cell r="A6">
            <v>3</v>
          </cell>
          <cell r="B6">
            <v>0</v>
          </cell>
          <cell r="C6">
            <v>0</v>
          </cell>
          <cell r="D6">
            <v>0</v>
          </cell>
          <cell r="E6">
            <v>9.1409999999999983E-4</v>
          </cell>
          <cell r="F6">
            <v>1.8281999999999997E-3</v>
          </cell>
          <cell r="G6">
            <v>2.7422999999999996E-3</v>
          </cell>
          <cell r="H6">
            <v>5.1884766666666672E-3</v>
          </cell>
          <cell r="I6">
            <v>7.634653333333334E-3</v>
          </cell>
          <cell r="J6">
            <v>1.0080830000000001E-2</v>
          </cell>
          <cell r="K6">
            <v>2.4686446666666667E-2</v>
          </cell>
          <cell r="L6">
            <v>3.9292063333333335E-2</v>
          </cell>
          <cell r="M6">
            <v>5.3897680000000003E-2</v>
          </cell>
          <cell r="N6">
            <v>0.11569915333333333</v>
          </cell>
          <cell r="O6">
            <v>0.17750062666666666</v>
          </cell>
          <cell r="P6">
            <v>0.23930209999999999</v>
          </cell>
          <cell r="Q6">
            <v>0.32480722500000003</v>
          </cell>
          <cell r="R6">
            <v>0.41031235000000005</v>
          </cell>
        </row>
        <row r="7">
          <cell r="A7">
            <v>4</v>
          </cell>
          <cell r="B7">
            <v>0</v>
          </cell>
          <cell r="C7">
            <v>1.71645E-4</v>
          </cell>
          <cell r="D7">
            <v>3.4329E-4</v>
          </cell>
          <cell r="E7">
            <v>1.5489666666666667E-3</v>
          </cell>
          <cell r="F7">
            <v>2.7546433333333334E-3</v>
          </cell>
          <cell r="G7">
            <v>3.9603199999999998E-3</v>
          </cell>
          <cell r="H7">
            <v>7.8278566666666657E-3</v>
          </cell>
          <cell r="I7">
            <v>1.1695393333333332E-2</v>
          </cell>
          <cell r="J7">
            <v>1.5562929999999999E-2</v>
          </cell>
          <cell r="K7">
            <v>3.4267106666666665E-2</v>
          </cell>
          <cell r="L7">
            <v>5.2971283333333327E-2</v>
          </cell>
          <cell r="M7">
            <v>7.1675459999999996E-2</v>
          </cell>
          <cell r="N7">
            <v>0.14066185333333331</v>
          </cell>
          <cell r="O7">
            <v>0.20964824666666665</v>
          </cell>
          <cell r="P7">
            <v>0.27863463999999999</v>
          </cell>
          <cell r="Q7">
            <v>0.36624643499999998</v>
          </cell>
          <cell r="R7">
            <v>0.45385823000000003</v>
          </cell>
        </row>
        <row r="8">
          <cell r="A8">
            <v>5</v>
          </cell>
          <cell r="B8">
            <v>0</v>
          </cell>
          <cell r="C8">
            <v>5.2840500000000002E-4</v>
          </cell>
          <cell r="D8">
            <v>1.05681E-3</v>
          </cell>
          <cell r="E8">
            <v>2.6718966666666672E-3</v>
          </cell>
          <cell r="F8">
            <v>4.2869833333333343E-3</v>
          </cell>
          <cell r="G8">
            <v>5.9020700000000006E-3</v>
          </cell>
          <cell r="H8">
            <v>1.0996333333333334E-2</v>
          </cell>
          <cell r="I8">
            <v>1.6090596666666665E-2</v>
          </cell>
          <cell r="J8">
            <v>2.118486E-2</v>
          </cell>
          <cell r="K8">
            <v>4.367849E-2</v>
          </cell>
          <cell r="L8">
            <v>6.6172120000000001E-2</v>
          </cell>
          <cell r="M8">
            <v>8.8665749999999988E-2</v>
          </cell>
          <cell r="N8">
            <v>0.16216345333333332</v>
          </cell>
          <cell r="O8">
            <v>0.23566115666666665</v>
          </cell>
          <cell r="P8">
            <v>0.30915885999999998</v>
          </cell>
          <cell r="Q8">
            <v>0.40137609499999999</v>
          </cell>
          <cell r="R8">
            <v>0.49359333</v>
          </cell>
        </row>
        <row r="9">
          <cell r="A9">
            <v>6</v>
          </cell>
          <cell r="B9">
            <v>5.5679000000000004E-4</v>
          </cell>
          <cell r="C9">
            <v>1.18077E-3</v>
          </cell>
          <cell r="D9">
            <v>1.8047499999999999E-3</v>
          </cell>
          <cell r="E9">
            <v>3.8638433333333332E-3</v>
          </cell>
          <cell r="F9">
            <v>5.9229366666666665E-3</v>
          </cell>
          <cell r="G9">
            <v>7.9820299999999993E-3</v>
          </cell>
          <cell r="H9">
            <v>1.4190356666666666E-2</v>
          </cell>
          <cell r="I9">
            <v>2.0398683333333334E-2</v>
          </cell>
          <cell r="J9">
            <v>2.660701E-2</v>
          </cell>
          <cell r="K9">
            <v>5.392016333333334E-2</v>
          </cell>
          <cell r="L9">
            <v>8.1233316666666666E-2</v>
          </cell>
          <cell r="M9">
            <v>0.10854647000000001</v>
          </cell>
          <cell r="N9">
            <v>0.18437393666666668</v>
          </cell>
          <cell r="O9">
            <v>0.26020140333333336</v>
          </cell>
          <cell r="P9">
            <v>0.33602887000000004</v>
          </cell>
          <cell r="Q9">
            <v>0.42266450500000002</v>
          </cell>
          <cell r="R9">
            <v>0.50930014000000001</v>
          </cell>
        </row>
        <row r="10">
          <cell r="A10">
            <v>7</v>
          </cell>
          <cell r="B10">
            <v>1.1548799999999998E-3</v>
          </cell>
          <cell r="C10">
            <v>2.0694400000000001E-3</v>
          </cell>
          <cell r="D10">
            <v>2.9840000000000001E-3</v>
          </cell>
          <cell r="E10">
            <v>5.3146833333333338E-3</v>
          </cell>
          <cell r="F10">
            <v>7.645366666666667E-3</v>
          </cell>
          <cell r="G10">
            <v>9.9760500000000002E-3</v>
          </cell>
          <cell r="H10">
            <v>1.7634763333333334E-2</v>
          </cell>
          <cell r="I10">
            <v>2.5293476666666669E-2</v>
          </cell>
          <cell r="J10">
            <v>3.2952189999999999E-2</v>
          </cell>
          <cell r="K10">
            <v>6.3219073333333334E-2</v>
          </cell>
          <cell r="L10">
            <v>9.3485956666666675E-2</v>
          </cell>
          <cell r="M10">
            <v>0.12375284</v>
          </cell>
          <cell r="N10">
            <v>0.19982359999999999</v>
          </cell>
          <cell r="O10">
            <v>0.27589436000000001</v>
          </cell>
          <cell r="P10">
            <v>0.35196511999999996</v>
          </cell>
          <cell r="Q10">
            <v>0.43795863499999999</v>
          </cell>
          <cell r="R10">
            <v>0.52395214999999995</v>
          </cell>
        </row>
        <row r="11">
          <cell r="A11">
            <v>8</v>
          </cell>
          <cell r="B11">
            <v>2.4468699999999999E-3</v>
          </cell>
          <cell r="C11">
            <v>3.3373249999999995E-3</v>
          </cell>
          <cell r="D11">
            <v>4.2277799999999996E-3</v>
          </cell>
          <cell r="E11">
            <v>6.9518433333333324E-3</v>
          </cell>
          <cell r="F11">
            <v>9.6759066666666661E-3</v>
          </cell>
          <cell r="G11">
            <v>1.239997E-2</v>
          </cell>
          <cell r="H11">
            <v>2.1871740000000001E-2</v>
          </cell>
          <cell r="I11">
            <v>3.1343509999999998E-2</v>
          </cell>
          <cell r="J11">
            <v>4.0815279999999995E-2</v>
          </cell>
          <cell r="K11">
            <v>7.3815883333333332E-2</v>
          </cell>
          <cell r="L11">
            <v>0.10681648666666667</v>
          </cell>
          <cell r="M11">
            <v>0.13981709</v>
          </cell>
          <cell r="N11">
            <v>0.21544355666666665</v>
          </cell>
          <cell r="O11">
            <v>0.29107002333333332</v>
          </cell>
          <cell r="P11">
            <v>0.36669648999999999</v>
          </cell>
          <cell r="Q11">
            <v>0.44917047499999996</v>
          </cell>
          <cell r="R11">
            <v>0.53164445999999999</v>
          </cell>
        </row>
        <row r="12">
          <cell r="A12">
            <v>9</v>
          </cell>
          <cell r="B12">
            <v>3.1501000000000003E-3</v>
          </cell>
          <cell r="C12">
            <v>4.1294699999999997E-3</v>
          </cell>
          <cell r="D12">
            <v>5.1088399999999999E-3</v>
          </cell>
          <cell r="E12">
            <v>8.5144466666666665E-3</v>
          </cell>
          <cell r="F12">
            <v>1.1920053333333333E-2</v>
          </cell>
          <cell r="G12">
            <v>1.5325660000000001E-2</v>
          </cell>
          <cell r="H12">
            <v>2.602633666666667E-2</v>
          </cell>
          <cell r="I12">
            <v>3.6727013333333336E-2</v>
          </cell>
          <cell r="J12">
            <v>4.7427690000000002E-2</v>
          </cell>
          <cell r="K12">
            <v>8.3243349999999994E-2</v>
          </cell>
          <cell r="L12">
            <v>0.11905900999999999</v>
          </cell>
          <cell r="M12">
            <v>0.15487466999999999</v>
          </cell>
          <cell r="N12">
            <v>0.22957771999999999</v>
          </cell>
          <cell r="O12">
            <v>0.30428076999999998</v>
          </cell>
          <cell r="P12">
            <v>0.37898381999999997</v>
          </cell>
          <cell r="Q12">
            <v>0.46442345000000002</v>
          </cell>
          <cell r="R12">
            <v>0.54986308000000006</v>
          </cell>
        </row>
        <row r="13">
          <cell r="A13">
            <v>10</v>
          </cell>
          <cell r="B13">
            <v>3.9152099999999997E-3</v>
          </cell>
          <cell r="C13">
            <v>5.2155899999999991E-3</v>
          </cell>
          <cell r="D13">
            <v>6.5159699999999994E-3</v>
          </cell>
          <cell r="E13">
            <v>1.0721566666666665E-2</v>
          </cell>
          <cell r="F13">
            <v>1.4927163333333332E-2</v>
          </cell>
          <cell r="G13">
            <v>1.9132759999999999E-2</v>
          </cell>
          <cell r="H13">
            <v>3.0992039999999998E-2</v>
          </cell>
          <cell r="I13">
            <v>4.2851319999999998E-2</v>
          </cell>
          <cell r="J13">
            <v>5.4710599999999998E-2</v>
          </cell>
          <cell r="K13">
            <v>9.1696920000000015E-2</v>
          </cell>
          <cell r="L13">
            <v>0.12868324000000003</v>
          </cell>
          <cell r="M13">
            <v>0.16566956000000002</v>
          </cell>
          <cell r="N13">
            <v>0.24014813333333335</v>
          </cell>
          <cell r="O13">
            <v>0.3146267066666667</v>
          </cell>
          <cell r="P13">
            <v>0.38910528</v>
          </cell>
          <cell r="Q13">
            <v>0.47480332999999997</v>
          </cell>
          <cell r="R13">
            <v>0.56050137999999994</v>
          </cell>
        </row>
        <row r="14">
          <cell r="A14">
            <v>11</v>
          </cell>
          <cell r="B14">
            <v>3.9152099999999997E-3</v>
          </cell>
          <cell r="C14">
            <v>5.7181000000000003E-3</v>
          </cell>
          <cell r="D14">
            <v>7.52099E-3</v>
          </cell>
          <cell r="E14">
            <v>1.2664729999999999E-2</v>
          </cell>
          <cell r="F14">
            <v>1.780847E-2</v>
          </cell>
          <cell r="G14">
            <v>2.2952210000000001E-2</v>
          </cell>
          <cell r="H14">
            <v>3.6626666666666668E-2</v>
          </cell>
          <cell r="I14">
            <v>5.0301123333333336E-2</v>
          </cell>
          <cell r="J14">
            <v>6.3975580000000004E-2</v>
          </cell>
          <cell r="K14">
            <v>0.10257350333333334</v>
          </cell>
          <cell r="L14">
            <v>0.14117142666666668</v>
          </cell>
          <cell r="M14">
            <v>0.17976935000000002</v>
          </cell>
          <cell r="N14">
            <v>0.25308281333333332</v>
          </cell>
          <cell r="O14">
            <v>0.32639627666666665</v>
          </cell>
          <cell r="P14">
            <v>0.39970973999999998</v>
          </cell>
          <cell r="Q14">
            <v>0.48482254000000002</v>
          </cell>
          <cell r="R14">
            <v>0.56993534000000001</v>
          </cell>
        </row>
        <row r="15">
          <cell r="A15">
            <v>12</v>
          </cell>
          <cell r="B15">
            <v>3.9152099999999997E-3</v>
          </cell>
          <cell r="C15">
            <v>5.9885149999999998E-3</v>
          </cell>
          <cell r="D15">
            <v>8.0618199999999991E-3</v>
          </cell>
          <cell r="E15">
            <v>1.3781713333333331E-2</v>
          </cell>
          <cell r="F15">
            <v>1.9501606666666664E-2</v>
          </cell>
          <cell r="G15">
            <v>2.5221499999999997E-2</v>
          </cell>
          <cell r="H15">
            <v>3.9730073333333331E-2</v>
          </cell>
          <cell r="I15">
            <v>5.4238646666666668E-2</v>
          </cell>
          <cell r="J15">
            <v>6.8747219999999998E-2</v>
          </cell>
          <cell r="K15">
            <v>0.10895972333333331</v>
          </cell>
          <cell r="L15">
            <v>0.14917222666666663</v>
          </cell>
          <cell r="M15">
            <v>0.18938472999999997</v>
          </cell>
          <cell r="N15">
            <v>0.26328094333333329</v>
          </cell>
          <cell r="O15">
            <v>0.33717715666666664</v>
          </cell>
          <cell r="P15">
            <v>0.41107336999999999</v>
          </cell>
          <cell r="Q15">
            <v>0.49450435500000001</v>
          </cell>
          <cell r="R15">
            <v>0.57793534000000002</v>
          </cell>
        </row>
        <row r="16">
          <cell r="A16">
            <v>13</v>
          </cell>
          <cell r="B16">
            <v>3.9152099999999997E-3</v>
          </cell>
          <cell r="C16">
            <v>6.8611149999999992E-3</v>
          </cell>
          <cell r="D16">
            <v>9.8070199999999996E-3</v>
          </cell>
          <cell r="E16">
            <v>1.5768223333333335E-2</v>
          </cell>
          <cell r="F16">
            <v>2.1729426666666669E-2</v>
          </cell>
          <cell r="G16">
            <v>2.7690630000000001E-2</v>
          </cell>
          <cell r="H16">
            <v>4.3616639999999998E-2</v>
          </cell>
          <cell r="I16">
            <v>5.9542649999999996E-2</v>
          </cell>
          <cell r="J16">
            <v>7.5468659999999993E-2</v>
          </cell>
          <cell r="K16">
            <v>0.11524248666666667</v>
          </cell>
          <cell r="L16">
            <v>0.15501631333333332</v>
          </cell>
          <cell r="M16">
            <v>0.19479014</v>
          </cell>
          <cell r="N16">
            <v>0.27020129999999998</v>
          </cell>
          <cell r="O16">
            <v>0.34561246000000001</v>
          </cell>
          <cell r="P16">
            <v>0.42102361999999999</v>
          </cell>
          <cell r="Q16">
            <v>0.50265408499999997</v>
          </cell>
          <cell r="R16">
            <v>0.58428455000000001</v>
          </cell>
        </row>
        <row r="17">
          <cell r="A17">
            <v>14</v>
          </cell>
          <cell r="B17">
            <v>5.0807199999999995E-3</v>
          </cell>
          <cell r="C17">
            <v>7.7613349999999994E-3</v>
          </cell>
          <cell r="D17">
            <v>1.044195E-2</v>
          </cell>
          <cell r="E17">
            <v>1.6641960000000001E-2</v>
          </cell>
          <cell r="F17">
            <v>2.2841970000000003E-2</v>
          </cell>
          <cell r="G17">
            <v>2.9041980000000002E-2</v>
          </cell>
          <cell r="H17">
            <v>4.5613130000000002E-2</v>
          </cell>
          <cell r="I17">
            <v>6.2184280000000001E-2</v>
          </cell>
          <cell r="J17">
            <v>7.8755430000000001E-2</v>
          </cell>
          <cell r="K17">
            <v>0.11795613333333332</v>
          </cell>
          <cell r="L17">
            <v>0.15715683666666666</v>
          </cell>
          <cell r="M17">
            <v>0.19635754</v>
          </cell>
          <cell r="N17">
            <v>0.27411979666666664</v>
          </cell>
          <cell r="O17">
            <v>0.35188205333333333</v>
          </cell>
          <cell r="P17">
            <v>0.42964430999999997</v>
          </cell>
          <cell r="Q17">
            <v>0.51254063500000002</v>
          </cell>
          <cell r="R17">
            <v>0.59543696000000002</v>
          </cell>
        </row>
        <row r="18">
          <cell r="A18">
            <v>15</v>
          </cell>
          <cell r="B18">
            <v>6.4176100000000007E-3</v>
          </cell>
          <cell r="C18">
            <v>8.783885E-3</v>
          </cell>
          <cell r="D18">
            <v>1.1150159999999999E-2</v>
          </cell>
          <cell r="E18">
            <v>1.8111606666666665E-2</v>
          </cell>
          <cell r="F18">
            <v>2.5073053333333331E-2</v>
          </cell>
          <cell r="G18">
            <v>3.20345E-2</v>
          </cell>
          <cell r="H18">
            <v>4.9740986666666667E-2</v>
          </cell>
          <cell r="I18">
            <v>6.7447473333333341E-2</v>
          </cell>
          <cell r="J18">
            <v>8.5153960000000015E-2</v>
          </cell>
          <cell r="K18">
            <v>0.12222182000000001</v>
          </cell>
          <cell r="L18">
            <v>0.15928967999999999</v>
          </cell>
          <cell r="M18">
            <v>0.19635754</v>
          </cell>
          <cell r="N18">
            <v>0.27832400000000002</v>
          </cell>
          <cell r="O18">
            <v>0.36029045999999998</v>
          </cell>
          <cell r="P18">
            <v>0.44225692</v>
          </cell>
          <cell r="Q18">
            <v>0.51884693999999998</v>
          </cell>
          <cell r="R18">
            <v>0.59543696000000002</v>
          </cell>
        </row>
        <row r="19">
          <cell r="A19">
            <v>16</v>
          </cell>
          <cell r="B19">
            <v>7.9776800000000009E-3</v>
          </cell>
          <cell r="C19">
            <v>9.9684500000000002E-3</v>
          </cell>
          <cell r="D19">
            <v>1.195922E-2</v>
          </cell>
          <cell r="E19">
            <v>1.9386003333333336E-2</v>
          </cell>
          <cell r="F19">
            <v>2.6812786666666671E-2</v>
          </cell>
          <cell r="G19">
            <v>3.4239570000000004E-2</v>
          </cell>
          <cell r="H19">
            <v>5.3290036666666665E-2</v>
          </cell>
          <cell r="I19">
            <v>7.2340503333333334E-2</v>
          </cell>
          <cell r="J19">
            <v>9.1390970000000002E-2</v>
          </cell>
          <cell r="K19">
            <v>0.12926582666666667</v>
          </cell>
          <cell r="L19">
            <v>0.16714068333333332</v>
          </cell>
          <cell r="M19">
            <v>0.20501554</v>
          </cell>
          <cell r="N19">
            <v>0.28710578333333331</v>
          </cell>
          <cell r="O19">
            <v>0.36919602666666662</v>
          </cell>
          <cell r="P19">
            <v>0.45128626999999999</v>
          </cell>
          <cell r="Q19">
            <v>0.523361615</v>
          </cell>
          <cell r="R19">
            <v>0.59543696000000002</v>
          </cell>
        </row>
        <row r="20">
          <cell r="A20">
            <v>17</v>
          </cell>
          <cell r="B20">
            <v>7.9776800000000009E-3</v>
          </cell>
          <cell r="C20">
            <v>1.0448300000000001E-2</v>
          </cell>
          <cell r="D20">
            <v>1.291892E-2</v>
          </cell>
          <cell r="E20">
            <v>2.0858096666666666E-2</v>
          </cell>
          <cell r="F20">
            <v>2.8797273333333335E-2</v>
          </cell>
          <cell r="G20">
            <v>3.6736450000000004E-2</v>
          </cell>
          <cell r="H20">
            <v>5.6553343333333339E-2</v>
          </cell>
          <cell r="I20">
            <v>7.6370236666666674E-2</v>
          </cell>
          <cell r="J20">
            <v>9.6187129999999996E-2</v>
          </cell>
          <cell r="K20">
            <v>0.13334979333333333</v>
          </cell>
          <cell r="L20">
            <v>0.17051245666666665</v>
          </cell>
          <cell r="M20">
            <v>0.20767511999999999</v>
          </cell>
          <cell r="N20">
            <v>0.29167995666666668</v>
          </cell>
          <cell r="O20">
            <v>0.37568479333333338</v>
          </cell>
          <cell r="P20">
            <v>0.45968963000000002</v>
          </cell>
          <cell r="Q20">
            <v>0.52756329499999999</v>
          </cell>
          <cell r="R20">
            <v>0.59543696000000002</v>
          </cell>
        </row>
        <row r="21">
          <cell r="A21">
            <v>18</v>
          </cell>
          <cell r="B21">
            <v>7.9776800000000009E-3</v>
          </cell>
          <cell r="C21">
            <v>1.1644470000000001E-2</v>
          </cell>
          <cell r="D21">
            <v>1.531126E-2</v>
          </cell>
          <cell r="E21">
            <v>2.3434103333333331E-2</v>
          </cell>
          <cell r="F21">
            <v>3.1556946666666669E-2</v>
          </cell>
          <cell r="G21">
            <v>3.967979E-2</v>
          </cell>
          <cell r="H21">
            <v>5.9932003333333331E-2</v>
          </cell>
          <cell r="I21">
            <v>8.0184216666666669E-2</v>
          </cell>
          <cell r="J21">
            <v>0.10043642999999999</v>
          </cell>
          <cell r="K21">
            <v>0.13956103666666667</v>
          </cell>
          <cell r="L21">
            <v>0.17868564333333331</v>
          </cell>
          <cell r="M21">
            <v>0.21781024999999998</v>
          </cell>
          <cell r="N21">
            <v>0.2996314533333333</v>
          </cell>
          <cell r="O21">
            <v>0.38145265666666661</v>
          </cell>
          <cell r="P21">
            <v>0.46327385999999998</v>
          </cell>
          <cell r="Q21">
            <v>0.52935540999999997</v>
          </cell>
          <cell r="R21">
            <v>0.59543696000000002</v>
          </cell>
        </row>
        <row r="22">
          <cell r="A22">
            <v>19</v>
          </cell>
          <cell r="B22">
            <v>7.9776800000000009E-3</v>
          </cell>
          <cell r="C22">
            <v>1.3995565000000001E-2</v>
          </cell>
          <cell r="D22">
            <v>2.0013450000000002E-2</v>
          </cell>
          <cell r="E22">
            <v>2.8058323333333336E-2</v>
          </cell>
          <cell r="F22">
            <v>3.610319666666667E-2</v>
          </cell>
          <cell r="G22">
            <v>4.4148069999999998E-2</v>
          </cell>
          <cell r="H22">
            <v>6.4602903333333336E-2</v>
          </cell>
          <cell r="I22">
            <v>8.5057736666666661E-2</v>
          </cell>
          <cell r="J22">
            <v>0.10551257</v>
          </cell>
          <cell r="K22">
            <v>0.14861889</v>
          </cell>
          <cell r="L22">
            <v>0.19172521000000001</v>
          </cell>
          <cell r="M22">
            <v>0.23483153000000001</v>
          </cell>
          <cell r="N22">
            <v>0.31406539333333333</v>
          </cell>
          <cell r="O22">
            <v>0.39329925666666665</v>
          </cell>
          <cell r="P22">
            <v>0.47253312000000003</v>
          </cell>
          <cell r="Q22">
            <v>0.53398504000000002</v>
          </cell>
          <cell r="R22">
            <v>0.59543696000000002</v>
          </cell>
        </row>
        <row r="23">
          <cell r="A23">
            <v>20</v>
          </cell>
          <cell r="B23">
            <v>7.9776800000000009E-3</v>
          </cell>
          <cell r="C23">
            <v>1.8343394999999998E-2</v>
          </cell>
          <cell r="D23">
            <v>2.8709109999999999E-2</v>
          </cell>
          <cell r="E23">
            <v>3.5358623333333332E-2</v>
          </cell>
          <cell r="F23">
            <v>4.2008136666666668E-2</v>
          </cell>
          <cell r="G23">
            <v>4.8657649999999997E-2</v>
          </cell>
          <cell r="H23">
            <v>6.9094069999999994E-2</v>
          </cell>
          <cell r="I23">
            <v>8.953048999999999E-2</v>
          </cell>
          <cell r="J23">
            <v>0.10996691</v>
          </cell>
          <cell r="K23">
            <v>0.16095174666666665</v>
          </cell>
          <cell r="L23">
            <v>0.21193658333333332</v>
          </cell>
          <cell r="M23">
            <v>0.26292141999999996</v>
          </cell>
          <cell r="N23">
            <v>0.33490168999999997</v>
          </cell>
          <cell r="O23">
            <v>0.40688195999999999</v>
          </cell>
          <cell r="P23">
            <v>0.47886223</v>
          </cell>
          <cell r="Q23">
            <v>0.53714959500000004</v>
          </cell>
          <cell r="R23">
            <v>0.59543696000000002</v>
          </cell>
        </row>
        <row r="24">
          <cell r="A24">
            <v>21</v>
          </cell>
          <cell r="B24">
            <v>8.5003934501281381E-3</v>
          </cell>
          <cell r="C24">
            <v>1.9579075457131417E-2</v>
          </cell>
          <cell r="D24">
            <v>3.0657757464134697E-2</v>
          </cell>
          <cell r="E24">
            <v>3.7628294910987813E-2</v>
          </cell>
          <cell r="F24">
            <v>4.4598832357840922E-2</v>
          </cell>
          <cell r="G24">
            <v>5.1569369804694037E-2</v>
          </cell>
          <cell r="H24">
            <v>7.2922722199359358E-2</v>
          </cell>
          <cell r="I24">
            <v>9.4276074594024678E-2</v>
          </cell>
          <cell r="J24">
            <v>0.11562942698868998</v>
          </cell>
          <cell r="K24">
            <v>0.16796292422537862</v>
          </cell>
          <cell r="L24">
            <v>0.22029642146206724</v>
          </cell>
          <cell r="M24">
            <v>0.27262991869875586</v>
          </cell>
          <cell r="N24">
            <v>0.34426043344435708</v>
          </cell>
          <cell r="O24">
            <v>0.41589094818995831</v>
          </cell>
          <cell r="P24">
            <v>0.48752146293555948</v>
          </cell>
          <cell r="Q24">
            <v>0.5439786122954553</v>
          </cell>
          <cell r="R24">
            <v>0.60043576165535106</v>
          </cell>
        </row>
        <row r="25">
          <cell r="A25">
            <v>22</v>
          </cell>
          <cell r="B25">
            <v>9.0228314736399209E-3</v>
          </cell>
          <cell r="C25">
            <v>2.0812663468866375E-2</v>
          </cell>
          <cell r="D25">
            <v>3.2602495464092829E-2</v>
          </cell>
          <cell r="E25">
            <v>3.9892389600401167E-2</v>
          </cell>
          <cell r="F25">
            <v>4.7182283736709497E-2</v>
          </cell>
          <cell r="G25">
            <v>5.4472177873017835E-2</v>
          </cell>
          <cell r="H25">
            <v>7.6733424661904262E-2</v>
          </cell>
          <cell r="I25">
            <v>9.8994671450790689E-2</v>
          </cell>
          <cell r="J25">
            <v>0.1212559182396771</v>
          </cell>
          <cell r="K25">
            <v>0.17490745916272868</v>
          </cell>
          <cell r="L25">
            <v>0.22855900008578023</v>
          </cell>
          <cell r="M25">
            <v>0.28221054100883181</v>
          </cell>
          <cell r="N25">
            <v>0.35348596531518794</v>
          </cell>
          <cell r="O25">
            <v>0.42476138962154408</v>
          </cell>
          <cell r="P25">
            <v>0.49603681392790022</v>
          </cell>
          <cell r="Q25">
            <v>0.5507048058945847</v>
          </cell>
          <cell r="R25">
            <v>0.60537279786126919</v>
          </cell>
        </row>
        <row r="26">
          <cell r="A26">
            <v>23</v>
          </cell>
          <cell r="B26">
            <v>9.5449942156623242E-3</v>
          </cell>
          <cell r="C26">
            <v>2.2044163029439783E-2</v>
          </cell>
          <cell r="D26">
            <v>3.4543331843217243E-2</v>
          </cell>
          <cell r="E26">
            <v>4.2150921722351367E-2</v>
          </cell>
          <cell r="F26">
            <v>4.9758511601485499E-2</v>
          </cell>
          <cell r="G26">
            <v>5.7366101480619623E-2</v>
          </cell>
          <cell r="H26">
            <v>8.0526271971687657E-2</v>
          </cell>
          <cell r="I26">
            <v>0.1036864424627557</v>
          </cell>
          <cell r="J26">
            <v>0.12684661295382374</v>
          </cell>
          <cell r="K26">
            <v>0.18178606572451925</v>
          </cell>
          <cell r="L26">
            <v>0.23672551849521478</v>
          </cell>
          <cell r="M26">
            <v>0.29166497126591029</v>
          </cell>
          <cell r="N26">
            <v>0.36258020541778363</v>
          </cell>
          <cell r="O26">
            <v>0.43349543956965697</v>
          </cell>
          <cell r="P26">
            <v>0.50441067372153026</v>
          </cell>
          <cell r="Q26">
            <v>0.55732975275817154</v>
          </cell>
          <cell r="R26">
            <v>0.61024883179481293</v>
          </cell>
        </row>
        <row r="27">
          <cell r="A27">
            <v>24</v>
          </cell>
          <cell r="B27">
            <v>1.0066881821245851E-2</v>
          </cell>
          <cell r="C27">
            <v>2.3273578125180484E-2</v>
          </cell>
          <cell r="D27">
            <v>3.6480274429115118E-2</v>
          </cell>
          <cell r="E27">
            <v>4.4403905559298941E-2</v>
          </cell>
          <cell r="F27">
            <v>5.2327536689482763E-2</v>
          </cell>
          <cell r="G27">
            <v>6.0251167819666586E-2</v>
          </cell>
          <cell r="H27">
            <v>8.4301358171038995E-2</v>
          </cell>
          <cell r="I27">
            <v>0.10835154852241141</v>
          </cell>
          <cell r="J27">
            <v>0.13240173887378381</v>
          </cell>
          <cell r="K27">
            <v>0.18859944978928608</v>
          </cell>
          <cell r="L27">
            <v>0.24479716070478835</v>
          </cell>
          <cell r="M27">
            <v>0.30099487162029059</v>
          </cell>
          <cell r="N27">
            <v>0.37154504552563083</v>
          </cell>
          <cell r="O27">
            <v>0.44209521943097108</v>
          </cell>
          <cell r="P27">
            <v>0.51264539333631132</v>
          </cell>
          <cell r="Q27">
            <v>0.56385500526974863</v>
          </cell>
          <cell r="R27">
            <v>0.61506461720318606</v>
          </cell>
        </row>
        <row r="28">
          <cell r="A28">
            <v>25</v>
          </cell>
          <cell r="B28">
            <v>1.0588494435364575E-2</v>
          </cell>
          <cell r="C28">
            <v>2.4500912734527057E-2</v>
          </cell>
          <cell r="D28">
            <v>3.8413331033689539E-2</v>
          </cell>
          <cell r="E28">
            <v>4.6651355355493154E-2</v>
          </cell>
          <cell r="F28">
            <v>5.4889379677296769E-2</v>
          </cell>
          <cell r="G28">
            <v>6.3127403999100384E-2</v>
          </cell>
          <cell r="H28">
            <v>8.8058776763826965E-2</v>
          </cell>
          <cell r="I28">
            <v>0.11299014952855355</v>
          </cell>
          <cell r="J28">
            <v>0.13792152229328014</v>
          </cell>
          <cell r="K28">
            <v>0.1953483089718886</v>
          </cell>
          <cell r="L28">
            <v>0.25277509565049705</v>
          </cell>
          <cell r="M28">
            <v>0.3102018823291055</v>
          </cell>
          <cell r="N28">
            <v>0.38038234979524504</v>
          </cell>
          <cell r="O28">
            <v>0.45056281726138458</v>
          </cell>
          <cell r="P28">
            <v>0.52074328472752418</v>
          </cell>
          <cell r="Q28">
            <v>0.57028209162388865</v>
          </cell>
          <cell r="R28">
            <v>0.61982089852025324</v>
          </cell>
        </row>
        <row r="29">
          <cell r="A29">
            <v>26</v>
          </cell>
          <cell r="B29">
            <v>1.110983220291618E-2</v>
          </cell>
          <cell r="C29">
            <v>2.5726170828043585E-2</v>
          </cell>
          <cell r="D29">
            <v>4.0342509453170992E-2</v>
          </cell>
          <cell r="E29">
            <v>4.8893285317077956E-2</v>
          </cell>
          <cell r="F29">
            <v>5.7444061180984919E-2</v>
          </cell>
          <cell r="G29">
            <v>6.5994837044891883E-2</v>
          </cell>
          <cell r="H29">
            <v>9.1798620718702151E-2</v>
          </cell>
          <cell r="I29">
            <v>0.11760240439251242</v>
          </cell>
          <cell r="J29">
            <v>0.14340618806632269</v>
          </cell>
          <cell r="K29">
            <v>0.20203333272577825</v>
          </cell>
          <cell r="L29">
            <v>0.26066047738523379</v>
          </cell>
          <cell r="M29">
            <v>0.31928762204468936</v>
          </cell>
          <cell r="N29">
            <v>0.38909395517478162</v>
          </cell>
          <cell r="O29">
            <v>0.45890028830487389</v>
          </cell>
          <cell r="P29">
            <v>0.52870662143496616</v>
          </cell>
          <cell r="Q29">
            <v>0.57661251620829113</v>
          </cell>
          <cell r="R29">
            <v>0.62451841098161609</v>
          </cell>
        </row>
        <row r="30">
          <cell r="A30">
            <v>27</v>
          </cell>
          <cell r="B30">
            <v>1.1630895268722005E-2</v>
          </cell>
          <cell r="C30">
            <v>2.6949356368435411E-2</v>
          </cell>
          <cell r="D30">
            <v>4.2267817468148818E-2</v>
          </cell>
          <cell r="E30">
            <v>5.1129709612197566E-2</v>
          </cell>
          <cell r="F30">
            <v>5.9991601756246314E-2</v>
          </cell>
          <cell r="G30">
            <v>6.8853493900295062E-2</v>
          </cell>
          <cell r="H30">
            <v>9.5520982472319466E-2</v>
          </cell>
          <cell r="I30">
            <v>0.12218847104434387</v>
          </cell>
          <cell r="J30">
            <v>0.14885595961636827</v>
          </cell>
          <cell r="K30">
            <v>0.20865520244396132</v>
          </cell>
          <cell r="L30">
            <v>0.26845444527155438</v>
          </cell>
          <cell r="M30">
            <v>0.3282536880991474</v>
          </cell>
          <cell r="N30">
            <v>0.39768167180651953</v>
          </cell>
          <cell r="O30">
            <v>0.46710965551389161</v>
          </cell>
          <cell r="P30">
            <v>0.53653763922126374</v>
          </cell>
          <cell r="Q30">
            <v>0.58284775997976557</v>
          </cell>
          <cell r="R30">
            <v>0.62915788073826739</v>
          </cell>
        </row>
        <row r="31">
          <cell r="A31">
            <v>28</v>
          </cell>
          <cell r="B31">
            <v>1.2151683777527074E-2</v>
          </cell>
          <cell r="C31">
            <v>2.8170473310564832E-2</v>
          </cell>
          <cell r="D31">
            <v>4.4189262843602591E-2</v>
          </cell>
          <cell r="E31">
            <v>5.3360642371101802E-2</v>
          </cell>
          <cell r="F31">
            <v>6.253202189860102E-2</v>
          </cell>
          <cell r="G31">
            <v>7.1703401426100224E-2</v>
          </cell>
          <cell r="H31">
            <v>9.9225953932540786E-2</v>
          </cell>
          <cell r="I31">
            <v>0.12674850643898136</v>
          </cell>
          <cell r="J31">
            <v>0.15427105894542192</v>
          </cell>
          <cell r="K31">
            <v>0.21521459155867376</v>
          </cell>
          <cell r="L31">
            <v>0.27615812417192559</v>
          </cell>
          <cell r="M31">
            <v>0.33710165678517745</v>
          </cell>
          <cell r="N31">
            <v>0.40614728342331102</v>
          </cell>
          <cell r="O31">
            <v>0.4751929100614446</v>
          </cell>
          <cell r="P31">
            <v>0.54423853669957811</v>
          </cell>
          <cell r="Q31">
            <v>0.58898928083420965</v>
          </cell>
          <cell r="R31">
            <v>0.6337400249688413</v>
          </cell>
        </row>
        <row r="32">
          <cell r="A32">
            <v>29</v>
          </cell>
          <cell r="B32">
            <v>1.2672197874000144E-2</v>
          </cell>
          <cell r="C32">
            <v>2.9389525601466793E-2</v>
          </cell>
          <cell r="D32">
            <v>4.6106853328933439E-2</v>
          </cell>
          <cell r="E32">
            <v>5.5586097686251078E-2</v>
          </cell>
          <cell r="F32">
            <v>6.5065342043568716E-2</v>
          </cell>
          <cell r="G32">
            <v>7.4544586400886362E-2</v>
          </cell>
          <cell r="H32">
            <v>0.1029136264816177</v>
          </cell>
          <cell r="I32">
            <v>0.13128266656234905</v>
          </cell>
          <cell r="J32">
            <v>0.15965170664308037</v>
          </cell>
          <cell r="K32">
            <v>0.2217121656397843</v>
          </cell>
          <cell r="L32">
            <v>0.28377262463648822</v>
          </cell>
          <cell r="M32">
            <v>0.34583308363319215</v>
          </cell>
          <cell r="N32">
            <v>0.41449254773908867</v>
          </cell>
          <cell r="O32">
            <v>0.48315201184498513</v>
          </cell>
          <cell r="P32">
            <v>0.55181147595088165</v>
          </cell>
          <cell r="Q32">
            <v>0.59503851397067864</v>
          </cell>
          <cell r="R32">
            <v>0.63826555199047574</v>
          </cell>
        </row>
        <row r="33">
          <cell r="A33">
            <v>30</v>
          </cell>
          <cell r="B33">
            <v>1.3192437702733747E-2</v>
          </cell>
          <cell r="C33">
            <v>3.0606517180364515E-2</v>
          </cell>
          <cell r="D33">
            <v>4.8020596657995282E-2</v>
          </cell>
          <cell r="E33">
            <v>5.7806089612421119E-2</v>
          </cell>
          <cell r="F33">
            <v>6.7591582566846956E-2</v>
          </cell>
          <cell r="G33">
            <v>7.7377075521272792E-2</v>
          </cell>
          <cell r="H33">
            <v>0.10658409097935452</v>
          </cell>
          <cell r="I33">
            <v>0.13579110643743625</v>
          </cell>
          <cell r="J33">
            <v>0.16499812189551799</v>
          </cell>
          <cell r="K33">
            <v>0.22814858249194248</v>
          </cell>
          <cell r="L33">
            <v>0.29129904308836696</v>
          </cell>
          <cell r="M33">
            <v>0.35444950368479139</v>
          </cell>
          <cell r="N33">
            <v>0.42271919683351994</v>
          </cell>
          <cell r="O33">
            <v>0.49098888998224854</v>
          </cell>
          <cell r="P33">
            <v>0.55925858313097709</v>
          </cell>
          <cell r="Q33">
            <v>0.60099687224964149</v>
          </cell>
          <cell r="R33">
            <v>0.642735161368306</v>
          </cell>
        </row>
        <row r="34">
          <cell r="A34">
            <v>31</v>
          </cell>
          <cell r="B34">
            <v>1.3712403408244225E-2</v>
          </cell>
          <cell r="C34">
            <v>3.1821451978685134E-2</v>
          </cell>
          <cell r="D34">
            <v>4.9930500549126046E-2</v>
          </cell>
          <cell r="E34">
            <v>6.0020632166807357E-2</v>
          </cell>
          <cell r="F34">
            <v>7.0110763784488661E-2</v>
          </cell>
          <cell r="G34">
            <v>8.0200895402169972E-2</v>
          </cell>
          <cell r="H34">
            <v>0.11023743776625185</v>
          </cell>
          <cell r="I34">
            <v>0.14027398013033371</v>
          </cell>
          <cell r="J34">
            <v>0.17031052249441558</v>
          </cell>
          <cell r="K34">
            <v>0.23452449225048794</v>
          </cell>
          <cell r="L34">
            <v>0.29873846200656029</v>
          </cell>
          <cell r="M34">
            <v>0.3629524317626327</v>
          </cell>
          <cell r="N34">
            <v>0.43082893753089874</v>
          </cell>
          <cell r="O34">
            <v>0.49870544329916477</v>
          </cell>
          <cell r="P34">
            <v>0.56658194906743076</v>
          </cell>
          <cell r="Q34">
            <v>0.60686574654551761</v>
          </cell>
          <cell r="R34">
            <v>0.64714954402360447</v>
          </cell>
        </row>
        <row r="35">
          <cell r="A35">
            <v>32</v>
          </cell>
          <cell r="B35">
            <v>1.423209513497177E-2</v>
          </cell>
          <cell r="C35">
            <v>3.3034333920075265E-2</v>
          </cell>
          <cell r="D35">
            <v>5.1836572705178767E-2</v>
          </cell>
          <cell r="E35">
            <v>6.2229739329129057E-2</v>
          </cell>
          <cell r="F35">
            <v>7.2622905953079339E-2</v>
          </cell>
          <cell r="G35">
            <v>8.3016072577029629E-2</v>
          </cell>
          <cell r="H35">
            <v>0.11387375666663052</v>
          </cell>
          <cell r="I35">
            <v>0.1447314407562314</v>
          </cell>
          <cell r="J35">
            <v>0.17558912484583231</v>
          </cell>
          <cell r="K35">
            <v>0.24084053747613715</v>
          </cell>
          <cell r="L35">
            <v>0.30609195010644197</v>
          </cell>
          <cell r="M35">
            <v>0.37134336273674684</v>
          </cell>
          <cell r="N35">
            <v>0.43882345177336018</v>
          </cell>
          <cell r="O35">
            <v>0.50630354080997353</v>
          </cell>
          <cell r="P35">
            <v>0.57378362984658693</v>
          </cell>
          <cell r="Q35">
            <v>0.61264650609358595</v>
          </cell>
          <cell r="R35">
            <v>0.65150938234058509</v>
          </cell>
        </row>
        <row r="36">
          <cell r="A36">
            <v>33</v>
          </cell>
          <cell r="B36">
            <v>1.4751513027280467E-2</v>
          </cell>
          <cell r="C36">
            <v>3.4245166920416577E-2</v>
          </cell>
          <cell r="D36">
            <v>5.3738820813552683E-2</v>
          </cell>
          <cell r="E36">
            <v>6.4433425041733133E-2</v>
          </cell>
          <cell r="F36">
            <v>7.512802926991359E-2</v>
          </cell>
          <cell r="G36">
            <v>8.5822633498094048E-2</v>
          </cell>
          <cell r="H36">
            <v>0.11749313699173644</v>
          </cell>
          <cell r="I36">
            <v>0.14916364048537883</v>
          </cell>
          <cell r="J36">
            <v>0.18083414397902123</v>
          </cell>
          <cell r="K36">
            <v>0.24709735324846271</v>
          </cell>
          <cell r="L36">
            <v>0.31336056251790423</v>
          </cell>
          <cell r="M36">
            <v>0.37962377178734569</v>
          </cell>
          <cell r="N36">
            <v>0.44670439698850667</v>
          </cell>
          <cell r="O36">
            <v>0.51378502218966771</v>
          </cell>
          <cell r="P36">
            <v>0.58086564739082869</v>
          </cell>
          <cell r="Q36">
            <v>0.61834049883135811</v>
          </cell>
          <cell r="R36">
            <v>0.65581535027188742</v>
          </cell>
        </row>
        <row r="37">
          <cell r="A37">
            <v>34</v>
          </cell>
          <cell r="B37">
            <v>1.5270657229458334E-2</v>
          </cell>
          <cell r="C37">
            <v>3.5453954887841276E-2</v>
          </cell>
          <cell r="D37">
            <v>5.5637252546224217E-2</v>
          </cell>
          <cell r="E37">
            <v>6.663170320969769E-2</v>
          </cell>
          <cell r="F37">
            <v>7.762615387317115E-2</v>
          </cell>
          <cell r="G37">
            <v>8.8620604536644623E-2</v>
          </cell>
          <cell r="H37">
            <v>0.121095667542826</v>
          </cell>
          <cell r="I37">
            <v>0.15357073054900738</v>
          </cell>
          <cell r="J37">
            <v>0.18604579355518874</v>
          </cell>
          <cell r="K37">
            <v>0.25329556725818198</v>
          </cell>
          <cell r="L37">
            <v>0.32054534096117521</v>
          </cell>
          <cell r="M37">
            <v>0.38779511466416844</v>
          </cell>
          <cell r="N37">
            <v>0.45447340645152789</v>
          </cell>
          <cell r="O37">
            <v>0.5211516982388873</v>
          </cell>
          <cell r="P37">
            <v>0.58782999002624681</v>
          </cell>
          <cell r="Q37">
            <v>0.62394905173450221</v>
          </cell>
          <cell r="R37">
            <v>0.66006811344275762</v>
          </cell>
        </row>
        <row r="38">
          <cell r="A38">
            <v>35</v>
          </cell>
          <cell r="B38">
            <v>1.5789527885717362E-2</v>
          </cell>
          <cell r="C38">
            <v>3.666070172274765E-2</v>
          </cell>
          <cell r="D38">
            <v>5.7531875559777935E-2</v>
          </cell>
          <cell r="E38">
            <v>6.8824587700935178E-2</v>
          </cell>
          <cell r="F38">
            <v>8.0117299842092426E-2</v>
          </cell>
          <cell r="G38">
            <v>9.1410011983249662E-2</v>
          </cell>
          <cell r="H38">
            <v>0.12468143661423253</v>
          </cell>
          <cell r="I38">
            <v>0.1579528612452154</v>
          </cell>
          <cell r="J38">
            <v>0.1912242858761983</v>
          </cell>
          <cell r="K38">
            <v>0.25943579989826954</v>
          </cell>
          <cell r="L38">
            <v>0.32764731392034074</v>
          </cell>
          <cell r="M38">
            <v>0.39585882794241201</v>
          </cell>
          <cell r="N38">
            <v>0.46213208964190006</v>
          </cell>
          <cell r="O38">
            <v>0.52840535134138811</v>
          </cell>
          <cell r="P38">
            <v>0.5946786130408761</v>
          </cell>
          <cell r="Q38">
            <v>0.62947347114740926</v>
          </cell>
          <cell r="R38">
            <v>0.6642683292539423</v>
          </cell>
        </row>
        <row r="39">
          <cell r="A39">
            <v>36</v>
          </cell>
          <cell r="B39">
            <v>1.6308125140193551E-2</v>
          </cell>
          <cell r="C39">
            <v>3.7865411317815484E-2</v>
          </cell>
          <cell r="D39">
            <v>5.9422697495437417E-2</v>
          </cell>
          <cell r="E39">
            <v>7.1012092346295422E-2</v>
          </cell>
          <cell r="F39">
            <v>8.260148719715342E-2</v>
          </cell>
          <cell r="G39">
            <v>9.4190882048011418E-2</v>
          </cell>
          <cell r="H39">
            <v>0.12825053199641387</v>
          </cell>
          <cell r="I39">
            <v>0.16231018194481631</v>
          </cell>
          <cell r="J39">
            <v>0.19636983189321874</v>
          </cell>
          <cell r="K39">
            <v>0.2655186643539092</v>
          </cell>
          <cell r="L39">
            <v>0.33466749681459967</v>
          </cell>
          <cell r="M39">
            <v>0.40381632927529015</v>
          </cell>
          <cell r="N39">
            <v>0.46968203259474556</v>
          </cell>
          <cell r="O39">
            <v>0.53554773591420102</v>
          </cell>
          <cell r="P39">
            <v>0.60141343923365642</v>
          </cell>
          <cell r="Q39">
            <v>0.63491504310848357</v>
          </cell>
          <cell r="R39">
            <v>0.6684166469833106</v>
          </cell>
        </row>
        <row r="40">
          <cell r="A40">
            <v>37</v>
          </cell>
          <cell r="B40">
            <v>1.6826449136946954E-2</v>
          </cell>
          <cell r="C40">
            <v>3.9068087558021519E-2</v>
          </cell>
          <cell r="D40">
            <v>6.1309725979096077E-2</v>
          </cell>
          <cell r="E40">
            <v>7.3194230939668162E-2</v>
          </cell>
          <cell r="F40">
            <v>8.507873590024026E-2</v>
          </cell>
          <cell r="G40">
            <v>9.6963240860812344E-2</v>
          </cell>
          <cell r="H40">
            <v>0.13180304097898077</v>
          </cell>
          <cell r="I40">
            <v>0.16664284109714916</v>
          </cell>
          <cell r="J40">
            <v>0.20148264121531759</v>
          </cell>
          <cell r="K40">
            <v>0.27154476669130045</v>
          </cell>
          <cell r="L40">
            <v>0.34160689216728335</v>
          </cell>
          <cell r="M40">
            <v>0.41166901764326624</v>
          </cell>
          <cell r="N40">
            <v>0.47712479824693471</v>
          </cell>
          <cell r="O40">
            <v>0.54258057885060318</v>
          </cell>
          <cell r="P40">
            <v>0.60803635945427159</v>
          </cell>
          <cell r="Q40">
            <v>0.64027503367024641</v>
          </cell>
          <cell r="R40">
            <v>0.67251370788622122</v>
          </cell>
        </row>
        <row r="41">
          <cell r="A41">
            <v>38</v>
          </cell>
          <cell r="B41">
            <v>1.7344500019961722E-2</v>
          </cell>
          <cell r="C41">
            <v>4.0268734320654823E-2</v>
          </cell>
          <cell r="D41">
            <v>6.319296862134792E-2</v>
          </cell>
          <cell r="E41">
            <v>7.5371017238085508E-2</v>
          </cell>
          <cell r="F41">
            <v>8.7549065854823083E-2</v>
          </cell>
          <cell r="G41">
            <v>9.9727114471560671E-2</v>
          </cell>
          <cell r="H41">
            <v>0.135339050353707</v>
          </cell>
          <cell r="I41">
            <v>0.17095098623585331</v>
          </cell>
          <cell r="J41">
            <v>0.20656292211799965</v>
          </cell>
          <cell r="K41">
            <v>0.27751470594533412</v>
          </cell>
          <cell r="L41">
            <v>0.34846648977266859</v>
          </cell>
          <cell r="M41">
            <v>0.41941827360000306</v>
          </cell>
          <cell r="N41">
            <v>0.48446192677800842</v>
          </cell>
          <cell r="O41">
            <v>0.54950557995601379</v>
          </cell>
          <cell r="P41">
            <v>0.61454923313401921</v>
          </cell>
          <cell r="Q41">
            <v>0.64555468921433401</v>
          </cell>
          <cell r="R41">
            <v>0.6765601452946487</v>
          </cell>
        </row>
        <row r="42">
          <cell r="A42">
            <v>39</v>
          </cell>
          <cell r="B42">
            <v>1.7862277933146129E-2</v>
          </cell>
          <cell r="C42">
            <v>4.1467355475332174E-2</v>
          </cell>
          <cell r="D42">
            <v>6.5072433017518222E-2</v>
          </cell>
          <cell r="E42">
            <v>7.7542464961823862E-2</v>
          </cell>
          <cell r="F42">
            <v>9.0012496906129488E-2</v>
          </cell>
          <cell r="G42">
            <v>0.10248252885043513</v>
          </cell>
          <cell r="H42">
            <v>0.13885864641752058</v>
          </cell>
          <cell r="I42">
            <v>0.17523476398460602</v>
          </cell>
          <cell r="J42">
            <v>0.21161088155169144</v>
          </cell>
          <cell r="K42">
            <v>0.28342907420615199</v>
          </cell>
          <cell r="L42">
            <v>0.35524726686061253</v>
          </cell>
          <cell r="M42">
            <v>0.42706545951507308</v>
          </cell>
          <cell r="N42">
            <v>0.49169493594600161</v>
          </cell>
          <cell r="O42">
            <v>0.5563244123769302</v>
          </cell>
          <cell r="P42">
            <v>0.62095388880785873</v>
          </cell>
          <cell r="Q42">
            <v>0.65075523676147196</v>
          </cell>
          <cell r="R42">
            <v>0.68055658471508518</v>
          </cell>
        </row>
        <row r="43">
          <cell r="A43">
            <v>40</v>
          </cell>
          <cell r="B43">
            <v>1.8379783020332628E-2</v>
          </cell>
          <cell r="C43">
            <v>4.2663954884013408E-2</v>
          </cell>
          <cell r="D43">
            <v>6.6948126747694195E-2</v>
          </cell>
          <cell r="E43">
            <v>7.9708587794505792E-2</v>
          </cell>
          <cell r="F43">
            <v>9.2469048841317375E-2</v>
          </cell>
          <cell r="G43">
            <v>0.10522950988812897</v>
          </cell>
          <cell r="H43">
            <v>0.14236191497547646</v>
          </cell>
          <cell r="I43">
            <v>0.17949432006282395</v>
          </cell>
          <cell r="J43">
            <v>0.21662672515017142</v>
          </cell>
          <cell r="K43">
            <v>0.2892884567046049</v>
          </cell>
          <cell r="L43">
            <v>0.36195018825903841</v>
          </cell>
          <cell r="M43">
            <v>0.43461191981347191</v>
          </cell>
          <cell r="N43">
            <v>0.4988253214182431</v>
          </cell>
          <cell r="O43">
            <v>0.56303872302301428</v>
          </cell>
          <cell r="P43">
            <v>0.62725212462778546</v>
          </cell>
          <cell r="Q43">
            <v>0.65587788427650895</v>
          </cell>
          <cell r="R43">
            <v>0.68450364392523255</v>
          </cell>
        </row>
        <row r="44">
          <cell r="A44">
            <v>41</v>
          </cell>
          <cell r="B44">
            <v>1.8897015425277885E-2</v>
          </cell>
          <cell r="C44">
            <v>4.3858536401016703E-2</v>
          </cell>
          <cell r="D44">
            <v>6.882005737675552E-2</v>
          </cell>
          <cell r="E44">
            <v>8.1869399383201452E-2</v>
          </cell>
          <cell r="F44">
            <v>9.4918741389647371E-2</v>
          </cell>
          <cell r="G44">
            <v>0.1079680833960933</v>
          </cell>
          <cell r="H44">
            <v>0.14584894134371112</v>
          </cell>
          <cell r="I44">
            <v>0.18372979929132893</v>
          </cell>
          <cell r="J44">
            <v>0.22161065723894674</v>
          </cell>
          <cell r="K44">
            <v>0.29509343189662351</v>
          </cell>
          <cell r="L44">
            <v>0.36857620655430029</v>
          </cell>
          <cell r="M44">
            <v>0.44205898121197706</v>
          </cell>
          <cell r="N44">
            <v>0.5058545570972095</v>
          </cell>
          <cell r="O44">
            <v>0.56965013298244205</v>
          </cell>
          <cell r="P44">
            <v>0.63344570886767448</v>
          </cell>
          <cell r="Q44">
            <v>0.66092382096858715</v>
          </cell>
          <cell r="R44">
            <v>0.68840193306949982</v>
          </cell>
        </row>
        <row r="45">
          <cell r="A45">
            <v>42</v>
          </cell>
          <cell r="B45">
            <v>1.9413975291662812E-2</v>
          </cell>
          <cell r="C45">
            <v>4.5051103873033849E-2</v>
          </cell>
          <cell r="D45">
            <v>7.0688232454404892E-2</v>
          </cell>
          <cell r="E45">
            <v>8.402491333852978E-2</v>
          </cell>
          <cell r="F45">
            <v>9.7361594222654668E-2</v>
          </cell>
          <cell r="G45">
            <v>0.11069827510677956</v>
          </cell>
          <cell r="H45">
            <v>0.1493198103523786</v>
          </cell>
          <cell r="I45">
            <v>0.18794134559797762</v>
          </cell>
          <cell r="J45">
            <v>0.22656288084357665</v>
          </cell>
          <cell r="K45">
            <v>0.3008445715465155</v>
          </cell>
          <cell r="L45">
            <v>0.37512626224945433</v>
          </cell>
          <cell r="M45">
            <v>0.44940795295239322</v>
          </cell>
          <cell r="N45">
            <v>0.51278409544150738</v>
          </cell>
          <cell r="O45">
            <v>0.57616023793062165</v>
          </cell>
          <cell r="P45">
            <v>0.63953638041973582</v>
          </cell>
          <cell r="Q45">
            <v>0.66589421758652811</v>
          </cell>
          <cell r="R45">
            <v>0.69225205475332041</v>
          </cell>
        </row>
        <row r="46">
          <cell r="A46">
            <v>43</v>
          </cell>
          <cell r="B46">
            <v>1.9930662763092619E-2</v>
          </cell>
          <cell r="C46">
            <v>4.6241661139145532E-2</v>
          </cell>
          <cell r="D46">
            <v>7.2552659515198445E-2</v>
          </cell>
          <cell r="E46">
            <v>8.6175143234759402E-2</v>
          </cell>
          <cell r="F46">
            <v>9.9797626954320345E-2</v>
          </cell>
          <cell r="G46">
            <v>0.1134201106738813</v>
          </cell>
          <cell r="H46">
            <v>0.15277460634856851</v>
          </cell>
          <cell r="I46">
            <v>0.19212910202325573</v>
          </cell>
          <cell r="J46">
            <v>0.23148359769794291</v>
          </cell>
          <cell r="K46">
            <v>0.30654244080920379</v>
          </cell>
          <cell r="L46">
            <v>0.38160128392046466</v>
          </cell>
          <cell r="M46">
            <v>0.45666012703172548</v>
          </cell>
          <cell r="N46">
            <v>0.51961536778205719</v>
          </cell>
          <cell r="O46">
            <v>0.58257060853238896</v>
          </cell>
          <cell r="P46">
            <v>0.64552584928272072</v>
          </cell>
          <cell r="Q46">
            <v>0.67079022670951238</v>
          </cell>
          <cell r="R46">
            <v>0.69605460413630404</v>
          </cell>
        </row>
        <row r="47">
          <cell r="A47">
            <v>44</v>
          </cell>
          <cell r="B47">
            <v>2.0447077983096841E-2</v>
          </cell>
          <cell r="C47">
            <v>4.7430212030836499E-2</v>
          </cell>
          <cell r="D47">
            <v>7.4413346078576151E-2</v>
          </cell>
          <cell r="E47">
            <v>8.8320102609909204E-2</v>
          </cell>
          <cell r="F47">
            <v>0.10222685914124227</v>
          </cell>
          <cell r="G47">
            <v>0.11613361567257532</v>
          </cell>
          <cell r="H47">
            <v>0.15621341319920612</v>
          </cell>
          <cell r="I47">
            <v>0.19629321072583689</v>
          </cell>
          <cell r="J47">
            <v>0.23637300825246768</v>
          </cell>
          <cell r="K47">
            <v>0.31218759831141879</v>
          </cell>
          <cell r="L47">
            <v>0.38800218837036987</v>
          </cell>
          <cell r="M47">
            <v>0.46381677842932095</v>
          </cell>
          <cell r="N47">
            <v>0.52634978463355253</v>
          </cell>
          <cell r="O47">
            <v>0.58888279083778416</v>
          </cell>
          <cell r="P47">
            <v>0.6514157970420158</v>
          </cell>
          <cell r="Q47">
            <v>0.67561298303312678</v>
          </cell>
          <cell r="R47">
            <v>0.69981016902423787</v>
          </cell>
        </row>
        <row r="48">
          <cell r="A48">
            <v>45</v>
          </cell>
          <cell r="B48">
            <v>2.0963221095129395E-2</v>
          </cell>
          <cell r="C48">
            <v>4.8616760372010771E-2</v>
          </cell>
          <cell r="D48">
            <v>7.6270299648892148E-2</v>
          </cell>
          <cell r="E48">
            <v>9.0459804965848725E-2</v>
          </cell>
          <cell r="F48">
            <v>0.10464931028280529</v>
          </cell>
          <cell r="G48">
            <v>0.11883881559976187</v>
          </cell>
          <cell r="H48">
            <v>0.15963631429393427</v>
          </cell>
          <cell r="I48">
            <v>0.20043381298810667</v>
          </cell>
          <cell r="J48">
            <v>0.24123131168227907</v>
          </cell>
          <cell r="K48">
            <v>0.31778059623185884</v>
          </cell>
          <cell r="L48">
            <v>0.3943298807814386</v>
          </cell>
          <cell r="M48">
            <v>0.47087916533101831</v>
          </cell>
          <cell r="N48">
            <v>0.53298873600126551</v>
          </cell>
          <cell r="O48">
            <v>0.59509830667151264</v>
          </cell>
          <cell r="P48">
            <v>0.65720787734175978</v>
          </cell>
          <cell r="Q48">
            <v>0.68036360365085513</v>
          </cell>
          <cell r="R48">
            <v>0.70351932995995059</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ashflow Engine - GL"/>
      <sheetName val="Assumption Calculations - GL"/>
      <sheetName val="Inputs - GL"/>
      <sheetName val="CSC_Worksheet - GL"/>
      <sheetName val="Cashflow Engine - VL"/>
      <sheetName val="Assumption Calculations - VL"/>
      <sheetName val="Inputs - VL"/>
      <sheetName val="CSC_Worksheet - VL"/>
      <sheetName val="Cashflow Engine - AL"/>
      <sheetName val="Assumption Calculations - AL"/>
      <sheetName val="Inputs - AL"/>
      <sheetName val="CSC_Worksheet - AL"/>
      <sheetName val="Cashflow Engine - LS"/>
      <sheetName val="Assumption Calculations - LS"/>
      <sheetName val="Inputs - LS"/>
      <sheetName val="CSC_Worksheet - LS"/>
      <sheetName val="Sensitivity_Analysis - GL"/>
      <sheetName val="Sensitivity_Analysis - VL"/>
      <sheetName val="Sensitivity_Analysis - AL"/>
      <sheetName val="Sensitivity_Analysis - LS"/>
      <sheetName val="CSC_Worksheet - VLAL"/>
      <sheetName val="FHA_Default_Rates_Vendee"/>
      <sheetName val="FHA_Prepay_Rates_Vendee"/>
      <sheetName val="FHA_Default_Rates_Acquired"/>
      <sheetName val="FHA_Prepay_Rates_Acquired"/>
      <sheetName val="Cashflows - CSC"/>
      <sheetName val="Model_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LGPO Rating"/>
      <sheetName val="Input Sheet"/>
      <sheetName val="Amortization Schedule"/>
      <sheetName val="Expected Cash Flow"/>
      <sheetName val="Default Rates"/>
      <sheetName val="Re-estimate Inputs"/>
      <sheetName val="CSC Input Sheet"/>
      <sheetName val="Switch"/>
      <sheetName val="ratings info"/>
      <sheetName val="Model_Control"/>
      <sheetName val="Model Inputs"/>
      <sheetName val="Test Matrix"/>
    </sheetNames>
    <sheetDataSet>
      <sheetData sheetId="0" refreshError="1"/>
      <sheetData sheetId="1" refreshError="1"/>
      <sheetData sheetId="2" refreshError="1">
        <row r="62">
          <cell r="L62">
            <v>0.85</v>
          </cell>
        </row>
        <row r="64">
          <cell r="E64" t="str">
            <v>US</v>
          </cell>
        </row>
        <row r="66">
          <cell r="E66" t="str">
            <v>Utilities, Electric</v>
          </cell>
          <cell r="L66">
            <v>0.8</v>
          </cell>
        </row>
        <row r="68">
          <cell r="L68">
            <v>0.9</v>
          </cell>
        </row>
        <row r="72">
          <cell r="E72">
            <v>1000000</v>
          </cell>
        </row>
        <row r="76">
          <cell r="E76">
            <v>1000000</v>
          </cell>
        </row>
        <row r="83">
          <cell r="E83" t="str">
            <v>Most Senior</v>
          </cell>
        </row>
        <row r="85">
          <cell r="L85">
            <v>1.2999999999999999E-2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ashflow Engine"/>
      <sheetName val="Inputs - Formulation"/>
      <sheetName val="Inputs - Reestimates"/>
      <sheetName val="Cashflows - CSC"/>
      <sheetName val="CSC_Worksheet"/>
      <sheetName val="Sensitivity_Analysis"/>
      <sheetName val="Model_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ASHBOARD"/>
      <sheetName val="Sheet2"/>
      <sheetName val="Suitability_1"/>
      <sheetName val="dropdown"/>
      <sheetName val="1.  Project Suitability"/>
      <sheetName val="2. Project Feasibility"/>
      <sheetName val="3. PPP Ability"/>
      <sheetName val="4. Govt. Fiscal Affordability"/>
      <sheetName val="5. Govt Institutional Ability"/>
      <sheetName val="Pre PFS Screening Tool"/>
      <sheetName val="6."/>
      <sheetName val="7."/>
      <sheetName val="8."/>
      <sheetName val="9."/>
      <sheetName val="Results Summary"/>
      <sheetName val="Final Score"/>
    </sheetNames>
    <sheetDataSet>
      <sheetData sheetId="0"/>
      <sheetData sheetId="1">
        <row r="7">
          <cell r="AO7">
            <v>5</v>
          </cell>
        </row>
      </sheetData>
      <sheetData sheetId="2"/>
      <sheetData sheetId="3"/>
      <sheetData sheetId="4">
        <row r="17">
          <cell r="B17" t="str">
            <v>Strong</v>
          </cell>
          <cell r="C17">
            <v>5</v>
          </cell>
        </row>
        <row r="18">
          <cell r="C18">
            <v>4</v>
          </cell>
        </row>
        <row r="19">
          <cell r="C19">
            <v>3</v>
          </cell>
        </row>
        <row r="20">
          <cell r="C20">
            <v>2</v>
          </cell>
        </row>
        <row r="21">
          <cell r="C21">
            <v>1</v>
          </cell>
        </row>
        <row r="22">
          <cell r="C22">
            <v>0</v>
          </cell>
        </row>
        <row r="23">
          <cell r="C23" t="str">
            <v>&lt;Choose Your Answer&gt;</v>
          </cell>
        </row>
        <row r="24">
          <cell r="C24" t="str">
            <v>Not Applicable</v>
          </cell>
        </row>
        <row r="25">
          <cell r="C25" t="str">
            <v>D.B.C</v>
          </cell>
        </row>
        <row r="29">
          <cell r="C29" t="str">
            <v>Yes</v>
          </cell>
        </row>
        <row r="30">
          <cell r="C30" t="str">
            <v>No</v>
          </cell>
        </row>
        <row r="31">
          <cell r="C31" t="str">
            <v>&lt;Choose Your Answer&gt;</v>
          </cell>
        </row>
        <row r="32">
          <cell r="C32" t="str">
            <v>Not Applicable</v>
          </cell>
        </row>
      </sheetData>
      <sheetData sheetId="5">
        <row r="32">
          <cell r="U32">
            <v>0</v>
          </cell>
        </row>
      </sheetData>
      <sheetData sheetId="6">
        <row r="83">
          <cell r="U83">
            <v>0</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 Sheet "/>
      <sheetName val="Admin"/>
      <sheetName val="Data"/>
      <sheetName val="1.Suitability"/>
      <sheetName val="2.Feasibility"/>
      <sheetName val="3.PPP Ability"/>
      <sheetName val="4.Fiscal Affordability"/>
      <sheetName val="5.Institutional Ability"/>
      <sheetName val="Dashboard"/>
      <sheetName val="New Data"/>
      <sheetName val="To Do"/>
    </sheetNames>
    <sheetDataSet>
      <sheetData sheetId="0"/>
      <sheetData sheetId="1">
        <row r="5">
          <cell r="C5" t="str">
            <v>Alignment with goverrnment priorities</v>
          </cell>
        </row>
      </sheetData>
      <sheetData sheetId="2">
        <row r="5">
          <cell r="C5" t="str">
            <v>Project Suitability</v>
          </cell>
        </row>
      </sheetData>
      <sheetData sheetId="3">
        <row r="19">
          <cell r="B19">
            <v>1</v>
          </cell>
          <cell r="C19" t="str">
            <v>Alignment with goverrnment priorities</v>
          </cell>
        </row>
        <row r="23">
          <cell r="C23" t="str">
            <v>Identification of service need</v>
          </cell>
        </row>
        <row r="27">
          <cell r="C27" t="str">
            <v>Is there a broad consensus from users/ stakeholders on the expectations from the project?</v>
          </cell>
        </row>
        <row r="30">
          <cell r="C30" t="str">
            <v>Has there been an assessment of all possible technical solutions to address the identified need?</v>
          </cell>
        </row>
      </sheetData>
      <sheetData sheetId="4">
        <row r="18">
          <cell r="D18" t="str">
            <v>Technical feasibility assessment</v>
          </cell>
        </row>
      </sheetData>
      <sheetData sheetId="5">
        <row r="18">
          <cell r="D18" t="str">
            <v>Risk Assessment</v>
          </cell>
        </row>
      </sheetData>
      <sheetData sheetId="6">
        <row r="18">
          <cell r="D18" t="str">
            <v>Extent and Nature of Government Fiscal Support</v>
          </cell>
        </row>
      </sheetData>
      <sheetData sheetId="7">
        <row r="19">
          <cell r="D19" t="str">
            <v>Institutional Capacity</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B24"/>
  <sheetViews>
    <sheetView showGridLines="0" tabSelected="1" zoomScale="85" zoomScaleNormal="85" workbookViewId="0"/>
  </sheetViews>
  <sheetFormatPr defaultColWidth="9.21875" defaultRowHeight="14.4" x14ac:dyDescent="0.3"/>
  <cols>
    <col min="1" max="1" width="9.21875" style="47"/>
    <col min="2" max="2" width="175.44140625" style="47" customWidth="1"/>
    <col min="3" max="16384" width="9.21875" style="47"/>
  </cols>
  <sheetData>
    <row r="1" spans="1:2" ht="21" x14ac:dyDescent="0.3">
      <c r="A1" s="437"/>
      <c r="B1" s="438" t="s">
        <v>484</v>
      </c>
    </row>
    <row r="2" spans="1:2" ht="24" customHeight="1" x14ac:dyDescent="0.3">
      <c r="A2" s="1429" t="s">
        <v>33</v>
      </c>
      <c r="B2" s="1433" t="s">
        <v>612</v>
      </c>
    </row>
    <row r="3" spans="1:2" ht="124.8" x14ac:dyDescent="0.3">
      <c r="A3" s="1429" t="s">
        <v>35</v>
      </c>
      <c r="B3" s="1431" t="s">
        <v>833</v>
      </c>
    </row>
    <row r="4" spans="1:2" ht="109.2" x14ac:dyDescent="0.3">
      <c r="A4" s="1430" t="s">
        <v>36</v>
      </c>
      <c r="B4" s="1431" t="s">
        <v>834</v>
      </c>
    </row>
    <row r="5" spans="1:2" ht="46.8" x14ac:dyDescent="0.3">
      <c r="A5" s="1430" t="s">
        <v>37</v>
      </c>
      <c r="B5" s="1431" t="s">
        <v>838</v>
      </c>
    </row>
    <row r="6" spans="1:2" ht="15.6" x14ac:dyDescent="0.3">
      <c r="A6" s="1430"/>
      <c r="B6" s="1431"/>
    </row>
    <row r="7" spans="1:2" ht="31.2" x14ac:dyDescent="0.3">
      <c r="A7" s="1430" t="s">
        <v>40</v>
      </c>
      <c r="B7" s="1431" t="s">
        <v>835</v>
      </c>
    </row>
    <row r="8" spans="1:2" ht="15.6" x14ac:dyDescent="0.3">
      <c r="A8" s="1430"/>
      <c r="B8" s="1431"/>
    </row>
    <row r="9" spans="1:2" ht="46.8" x14ac:dyDescent="0.3">
      <c r="A9" s="1430" t="s">
        <v>41</v>
      </c>
      <c r="B9" s="1431" t="s">
        <v>836</v>
      </c>
    </row>
    <row r="10" spans="1:2" ht="15.6" x14ac:dyDescent="0.3">
      <c r="A10" s="1430"/>
      <c r="B10" s="1431"/>
    </row>
    <row r="11" spans="1:2" ht="46.8" x14ac:dyDescent="0.3">
      <c r="A11" s="1430" t="s">
        <v>42</v>
      </c>
      <c r="B11" s="1431" t="s">
        <v>837</v>
      </c>
    </row>
    <row r="12" spans="1:2" ht="15.6" x14ac:dyDescent="0.3">
      <c r="A12" s="1430"/>
      <c r="B12" s="1431"/>
    </row>
    <row r="13" spans="1:2" ht="15.6" x14ac:dyDescent="0.3">
      <c r="A13" s="1430" t="s">
        <v>43</v>
      </c>
      <c r="B13" s="1433" t="s">
        <v>839</v>
      </c>
    </row>
    <row r="14" spans="1:2" ht="15.6" x14ac:dyDescent="0.3">
      <c r="A14" s="1430"/>
      <c r="B14" s="1433"/>
    </row>
    <row r="15" spans="1:2" ht="15.6" x14ac:dyDescent="0.3">
      <c r="A15" s="1430" t="s">
        <v>44</v>
      </c>
      <c r="B15" s="1431" t="s">
        <v>631</v>
      </c>
    </row>
    <row r="16" spans="1:2" ht="15.6" x14ac:dyDescent="0.3">
      <c r="A16" s="1430"/>
      <c r="B16" s="1431"/>
    </row>
    <row r="17" spans="1:2" ht="15.6" x14ac:dyDescent="0.3">
      <c r="A17" s="1430" t="s">
        <v>809</v>
      </c>
      <c r="B17" s="1431" t="s">
        <v>840</v>
      </c>
    </row>
    <row r="18" spans="1:2" ht="15.6" x14ac:dyDescent="0.3">
      <c r="A18" s="1430"/>
      <c r="B18" s="1431"/>
    </row>
    <row r="19" spans="1:2" ht="15.75" customHeight="1" x14ac:dyDescent="0.4">
      <c r="A19" s="1962" t="s">
        <v>630</v>
      </c>
      <c r="B19" s="1963"/>
    </row>
    <row r="20" spans="1:2" ht="14.55" customHeight="1" x14ac:dyDescent="0.3">
      <c r="A20" s="2074" t="s">
        <v>841</v>
      </c>
      <c r="B20" s="2075"/>
    </row>
    <row r="21" spans="1:2" x14ac:dyDescent="0.3">
      <c r="A21" s="2074"/>
      <c r="B21" s="2075"/>
    </row>
    <row r="22" spans="1:2" x14ac:dyDescent="0.3">
      <c r="A22" s="2074"/>
      <c r="B22" s="2075"/>
    </row>
    <row r="23" spans="1:2" ht="35.1" customHeight="1" x14ac:dyDescent="0.3">
      <c r="A23" s="2074"/>
      <c r="B23" s="2075"/>
    </row>
    <row r="24" spans="1:2" ht="15" thickBot="1" x14ac:dyDescent="0.35">
      <c r="A24" s="2076"/>
      <c r="B24" s="2077"/>
    </row>
  </sheetData>
  <sheetProtection password="DA20" sheet="1" objects="1" scenarios="1"/>
  <mergeCells count="1">
    <mergeCell ref="A20:B24"/>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1"/>
  </sheetPr>
  <dimension ref="B1:W23"/>
  <sheetViews>
    <sheetView zoomScale="80" zoomScaleNormal="80" workbookViewId="0"/>
  </sheetViews>
  <sheetFormatPr defaultColWidth="9.21875" defaultRowHeight="14.4" x14ac:dyDescent="0.3"/>
  <cols>
    <col min="1" max="1" width="9.21875" style="47" customWidth="1"/>
    <col min="2" max="16" width="9.21875" style="47"/>
    <col min="17" max="17" width="14.109375" style="47" customWidth="1"/>
    <col min="18" max="20" width="9.21875" style="47"/>
    <col min="21" max="23" width="0" style="47" hidden="1" customWidth="1"/>
    <col min="24" max="16384" width="9.21875" style="47"/>
  </cols>
  <sheetData>
    <row r="1" spans="2:23" ht="15" thickBot="1" x14ac:dyDescent="0.35"/>
    <row r="2" spans="2:23" ht="18" x14ac:dyDescent="0.35">
      <c r="B2" s="1291"/>
      <c r="C2" s="1292"/>
      <c r="D2" s="1292"/>
      <c r="E2" s="1292"/>
      <c r="F2" s="1292"/>
      <c r="G2" s="1292"/>
      <c r="H2" s="1292"/>
      <c r="I2" s="1292"/>
      <c r="J2" s="1292"/>
      <c r="K2" s="1292"/>
      <c r="L2" s="1292"/>
      <c r="M2" s="1292"/>
      <c r="N2" s="1292"/>
      <c r="O2" s="1292"/>
      <c r="P2" s="1292"/>
      <c r="Q2" s="1292"/>
      <c r="R2" s="1292"/>
      <c r="S2" s="1292"/>
      <c r="T2" s="1286"/>
      <c r="U2" s="1286"/>
      <c r="V2" s="1286"/>
      <c r="W2" s="1287"/>
    </row>
    <row r="3" spans="2:23" ht="23.4" x14ac:dyDescent="0.45">
      <c r="B3" s="1293"/>
      <c r="C3" s="1299" t="s">
        <v>482</v>
      </c>
      <c r="D3" s="1297"/>
      <c r="E3" s="1294"/>
      <c r="F3" s="1294"/>
      <c r="G3" s="1294"/>
      <c r="H3" s="1294"/>
      <c r="I3" s="1294"/>
      <c r="J3" s="1294"/>
      <c r="K3" s="1294"/>
      <c r="L3" s="1294"/>
      <c r="M3" s="1294"/>
      <c r="N3" s="1294"/>
      <c r="O3" s="1294"/>
      <c r="P3" s="1294"/>
      <c r="Q3" s="1294"/>
      <c r="R3" s="1294"/>
      <c r="S3" s="1294"/>
      <c r="T3" s="625"/>
      <c r="U3" s="625"/>
      <c r="V3" s="625"/>
      <c r="W3" s="1288"/>
    </row>
    <row r="4" spans="2:23" ht="18" x14ac:dyDescent="0.35">
      <c r="B4" s="1293"/>
      <c r="C4" s="1294"/>
      <c r="D4" s="1294"/>
      <c r="E4" s="1294"/>
      <c r="F4" s="1294"/>
      <c r="G4" s="1294"/>
      <c r="H4" s="1294"/>
      <c r="I4" s="1294"/>
      <c r="J4" s="1294"/>
      <c r="K4" s="1294"/>
      <c r="L4" s="1294"/>
      <c r="M4" s="1294"/>
      <c r="N4" s="1294"/>
      <c r="O4" s="1294"/>
      <c r="P4" s="1294"/>
      <c r="Q4" s="1294"/>
      <c r="R4" s="1294"/>
      <c r="S4" s="1294"/>
      <c r="T4" s="625"/>
      <c r="U4" s="625"/>
      <c r="V4" s="625"/>
      <c r="W4" s="1288"/>
    </row>
    <row r="5" spans="2:23" ht="21" x14ac:dyDescent="0.4">
      <c r="B5" s="1293"/>
      <c r="C5" s="1300">
        <v>0</v>
      </c>
      <c r="D5" s="1298" t="s">
        <v>483</v>
      </c>
      <c r="E5" s="1294"/>
      <c r="F5" s="1294"/>
      <c r="G5" s="1294"/>
      <c r="H5" s="1294" t="s">
        <v>843</v>
      </c>
      <c r="I5" s="1294"/>
      <c r="J5" s="1294"/>
      <c r="K5" s="1294"/>
      <c r="L5" s="1294"/>
      <c r="M5" s="1294"/>
      <c r="N5" s="1294"/>
      <c r="O5" s="1294"/>
      <c r="P5" s="1294"/>
      <c r="Q5" s="1294"/>
      <c r="R5" s="2029"/>
      <c r="S5" s="2029"/>
      <c r="T5" s="625"/>
      <c r="U5" s="625"/>
      <c r="V5" s="625"/>
      <c r="W5" s="1288"/>
    </row>
    <row r="6" spans="2:23" ht="18" x14ac:dyDescent="0.35">
      <c r="B6" s="1293"/>
      <c r="C6" s="1294"/>
      <c r="D6" s="1294"/>
      <c r="E6" s="1294"/>
      <c r="F6" s="1294"/>
      <c r="G6" s="1294"/>
      <c r="H6" s="1294"/>
      <c r="I6" s="1294"/>
      <c r="J6" s="1294"/>
      <c r="K6" s="1294"/>
      <c r="L6" s="1294"/>
      <c r="M6" s="1294"/>
      <c r="N6" s="1294"/>
      <c r="O6" s="1294"/>
      <c r="P6" s="1294"/>
      <c r="Q6" s="1294"/>
      <c r="R6" s="2030"/>
      <c r="S6" s="2030"/>
      <c r="T6" s="625"/>
      <c r="U6" s="625"/>
      <c r="V6" s="625"/>
      <c r="W6" s="1288"/>
    </row>
    <row r="7" spans="2:23" ht="21" x14ac:dyDescent="0.4">
      <c r="B7" s="1293"/>
      <c r="C7" s="1294" t="s">
        <v>44</v>
      </c>
      <c r="D7" s="1298" t="s">
        <v>247</v>
      </c>
      <c r="E7" s="1294"/>
      <c r="F7" s="1294"/>
      <c r="G7" s="1294"/>
      <c r="H7" s="1294" t="s">
        <v>844</v>
      </c>
      <c r="I7" s="1294"/>
      <c r="J7" s="1294"/>
      <c r="K7" s="1294"/>
      <c r="L7" s="1294"/>
      <c r="M7" s="1294"/>
      <c r="N7" s="1294"/>
      <c r="O7" s="1294"/>
      <c r="P7" s="1294"/>
      <c r="Q7" s="1294"/>
      <c r="R7" s="2078" t="s">
        <v>34</v>
      </c>
      <c r="S7" s="2078"/>
      <c r="T7" s="625"/>
      <c r="U7" s="625"/>
      <c r="V7" s="625"/>
      <c r="W7" s="1288"/>
    </row>
    <row r="8" spans="2:23" ht="21" x14ac:dyDescent="0.4">
      <c r="B8" s="1293"/>
      <c r="C8" s="1294"/>
      <c r="D8" s="1298"/>
      <c r="E8" s="1294"/>
      <c r="F8" s="1294"/>
      <c r="G8" s="1294"/>
      <c r="H8" s="1294"/>
      <c r="I8" s="1294"/>
      <c r="J8" s="1294"/>
      <c r="K8" s="1294"/>
      <c r="L8" s="1294"/>
      <c r="M8" s="1294"/>
      <c r="N8" s="1294"/>
      <c r="O8" s="1294"/>
      <c r="P8" s="1294"/>
      <c r="Q8" s="1294"/>
      <c r="R8" s="2030"/>
      <c r="S8" s="2030"/>
      <c r="T8" s="625"/>
      <c r="U8" s="625"/>
      <c r="V8" s="625"/>
      <c r="W8" s="1288"/>
    </row>
    <row r="9" spans="2:23" ht="21" x14ac:dyDescent="0.4">
      <c r="B9" s="1293"/>
      <c r="C9" s="1294" t="s">
        <v>175</v>
      </c>
      <c r="D9" s="1298" t="s">
        <v>248</v>
      </c>
      <c r="E9" s="1294"/>
      <c r="F9" s="1294"/>
      <c r="G9" s="1294"/>
      <c r="H9" s="1294" t="s">
        <v>844</v>
      </c>
      <c r="I9" s="1294"/>
      <c r="J9" s="1294"/>
      <c r="K9" s="1294"/>
      <c r="L9" s="1294"/>
      <c r="M9" s="1294"/>
      <c r="N9" s="1294"/>
      <c r="O9" s="1294"/>
      <c r="P9" s="1294"/>
      <c r="Q9" s="1294"/>
      <c r="R9" s="2078" t="s">
        <v>34</v>
      </c>
      <c r="S9" s="2078"/>
      <c r="T9" s="625"/>
      <c r="U9" s="625"/>
      <c r="V9" s="625"/>
      <c r="W9" s="1288"/>
    </row>
    <row r="10" spans="2:23" ht="21" x14ac:dyDescent="0.4">
      <c r="B10" s="1293"/>
      <c r="C10" s="1294"/>
      <c r="D10" s="1298"/>
      <c r="E10" s="1294"/>
      <c r="F10" s="1294"/>
      <c r="G10" s="1294"/>
      <c r="H10" s="1294"/>
      <c r="I10" s="1294"/>
      <c r="J10" s="1294"/>
      <c r="K10" s="1294"/>
      <c r="L10" s="1294"/>
      <c r="M10" s="1294"/>
      <c r="N10" s="1294"/>
      <c r="O10" s="1294"/>
      <c r="P10" s="1294"/>
      <c r="Q10" s="1294"/>
      <c r="R10" s="2030"/>
      <c r="S10" s="2030"/>
      <c r="T10" s="625"/>
      <c r="U10" s="625"/>
      <c r="V10" s="625"/>
      <c r="W10" s="1288"/>
    </row>
    <row r="11" spans="2:23" ht="21" x14ac:dyDescent="0.4">
      <c r="B11" s="1293"/>
      <c r="C11" s="1294" t="s">
        <v>176</v>
      </c>
      <c r="D11" s="1298" t="s">
        <v>103</v>
      </c>
      <c r="E11" s="1294"/>
      <c r="F11" s="1294"/>
      <c r="G11" s="1294"/>
      <c r="H11" s="1294" t="s">
        <v>844</v>
      </c>
      <c r="I11" s="1294"/>
      <c r="J11" s="1294"/>
      <c r="K11" s="1294"/>
      <c r="L11" s="1294"/>
      <c r="M11" s="1294"/>
      <c r="N11" s="1294"/>
      <c r="O11" s="1294"/>
      <c r="P11" s="1294"/>
      <c r="Q11" s="1294"/>
      <c r="R11" s="2078" t="s">
        <v>34</v>
      </c>
      <c r="S11" s="2078"/>
      <c r="T11" s="625"/>
      <c r="U11" s="625"/>
      <c r="V11" s="625"/>
      <c r="W11" s="1288"/>
    </row>
    <row r="12" spans="2:23" ht="21" x14ac:dyDescent="0.4">
      <c r="B12" s="1293"/>
      <c r="C12" s="1294"/>
      <c r="D12" s="1298"/>
      <c r="E12" s="1294"/>
      <c r="F12" s="1294"/>
      <c r="G12" s="1294"/>
      <c r="H12" s="1294"/>
      <c r="I12" s="1294"/>
      <c r="J12" s="1294"/>
      <c r="K12" s="1294"/>
      <c r="L12" s="1294"/>
      <c r="M12" s="1294"/>
      <c r="N12" s="1294"/>
      <c r="O12" s="1294"/>
      <c r="P12" s="1294"/>
      <c r="Q12" s="1294"/>
      <c r="R12" s="2030"/>
      <c r="S12" s="2030"/>
      <c r="T12" s="625"/>
      <c r="U12" s="625"/>
      <c r="V12" s="625"/>
      <c r="W12" s="1288"/>
    </row>
    <row r="13" spans="2:23" ht="21" x14ac:dyDescent="0.4">
      <c r="B13" s="1293"/>
      <c r="C13" s="1294" t="s">
        <v>208</v>
      </c>
      <c r="D13" s="1298" t="s">
        <v>557</v>
      </c>
      <c r="E13" s="1294"/>
      <c r="F13" s="1294"/>
      <c r="G13" s="1294"/>
      <c r="H13" s="1294" t="s">
        <v>844</v>
      </c>
      <c r="I13" s="1294"/>
      <c r="J13" s="1294"/>
      <c r="K13" s="1294"/>
      <c r="L13" s="1294"/>
      <c r="M13" s="1294"/>
      <c r="N13" s="1294"/>
      <c r="O13" s="1294"/>
      <c r="P13" s="1294"/>
      <c r="Q13" s="1294"/>
      <c r="R13" s="2078" t="s">
        <v>34</v>
      </c>
      <c r="S13" s="2078"/>
      <c r="T13" s="625"/>
      <c r="U13" s="625"/>
      <c r="V13" s="625"/>
      <c r="W13" s="1288"/>
    </row>
    <row r="14" spans="2:23" ht="21" x14ac:dyDescent="0.4">
      <c r="B14" s="1293"/>
      <c r="C14" s="1294"/>
      <c r="D14" s="1298"/>
      <c r="E14" s="1294"/>
      <c r="F14" s="1294"/>
      <c r="G14" s="1294"/>
      <c r="H14" s="1294"/>
      <c r="I14" s="1294"/>
      <c r="J14" s="1294"/>
      <c r="K14" s="1294"/>
      <c r="L14" s="1294"/>
      <c r="M14" s="1294"/>
      <c r="N14" s="1294"/>
      <c r="O14" s="1294"/>
      <c r="P14" s="1294"/>
      <c r="Q14" s="1294"/>
      <c r="R14" s="2030"/>
      <c r="S14" s="2030"/>
      <c r="T14" s="625"/>
      <c r="U14" s="625"/>
      <c r="V14" s="625"/>
      <c r="W14" s="1288"/>
    </row>
    <row r="15" spans="2:23" ht="21" x14ac:dyDescent="0.4">
      <c r="B15" s="1293"/>
      <c r="C15" s="1294" t="s">
        <v>209</v>
      </c>
      <c r="D15" s="1298" t="s">
        <v>293</v>
      </c>
      <c r="E15" s="1294"/>
      <c r="F15" s="1294"/>
      <c r="G15" s="1294"/>
      <c r="H15" s="1294" t="s">
        <v>844</v>
      </c>
      <c r="I15" s="1294"/>
      <c r="J15" s="1294"/>
      <c r="K15" s="1294"/>
      <c r="L15" s="1294"/>
      <c r="M15" s="1294"/>
      <c r="N15" s="1294"/>
      <c r="O15" s="1294"/>
      <c r="P15" s="1294"/>
      <c r="Q15" s="1294"/>
      <c r="R15" s="2078" t="s">
        <v>34</v>
      </c>
      <c r="S15" s="2078"/>
      <c r="T15" s="625"/>
      <c r="U15" s="625"/>
      <c r="V15" s="625"/>
      <c r="W15" s="1288"/>
    </row>
    <row r="16" spans="2:23" ht="21" x14ac:dyDescent="0.4">
      <c r="B16" s="1293"/>
      <c r="C16" s="1294"/>
      <c r="D16" s="1298"/>
      <c r="E16" s="1294"/>
      <c r="F16" s="1294"/>
      <c r="G16" s="1294"/>
      <c r="H16" s="1294"/>
      <c r="I16" s="1294"/>
      <c r="J16" s="1294"/>
      <c r="K16" s="1294"/>
      <c r="L16" s="1294"/>
      <c r="M16" s="1294"/>
      <c r="N16" s="1294"/>
      <c r="O16" s="1294"/>
      <c r="P16" s="1294"/>
      <c r="Q16" s="1294"/>
      <c r="R16" s="2030"/>
      <c r="S16" s="2030"/>
      <c r="T16" s="625"/>
      <c r="U16" s="625"/>
      <c r="V16" s="625"/>
      <c r="W16" s="1288"/>
    </row>
    <row r="17" spans="2:23" ht="21" x14ac:dyDescent="0.4">
      <c r="B17" s="1293"/>
      <c r="C17" s="1294" t="s">
        <v>249</v>
      </c>
      <c r="D17" s="1298" t="s">
        <v>613</v>
      </c>
      <c r="E17" s="1294"/>
      <c r="F17" s="1294"/>
      <c r="G17" s="1294"/>
      <c r="H17" s="1294" t="s">
        <v>844</v>
      </c>
      <c r="I17" s="1294"/>
      <c r="J17" s="1294"/>
      <c r="K17" s="1294"/>
      <c r="L17" s="1294"/>
      <c r="M17" s="1294"/>
      <c r="N17" s="1294"/>
      <c r="O17" s="1294"/>
      <c r="P17" s="1294"/>
      <c r="Q17" s="1294"/>
      <c r="R17" s="2078" t="s">
        <v>34</v>
      </c>
      <c r="S17" s="2078"/>
      <c r="T17" s="625"/>
      <c r="U17" s="625"/>
      <c r="V17" s="625"/>
      <c r="W17" s="1288"/>
    </row>
    <row r="18" spans="2:23" ht="18" x14ac:dyDescent="0.35">
      <c r="B18" s="1293"/>
      <c r="C18" s="1294"/>
      <c r="D18" s="1294"/>
      <c r="E18" s="1294"/>
      <c r="F18" s="1294"/>
      <c r="G18" s="1294"/>
      <c r="H18" s="1294"/>
      <c r="I18" s="1294"/>
      <c r="J18" s="1294"/>
      <c r="K18" s="1294"/>
      <c r="L18" s="1294"/>
      <c r="M18" s="1294"/>
      <c r="N18" s="1294"/>
      <c r="O18" s="1294"/>
      <c r="P18" s="1294"/>
      <c r="Q18" s="1294"/>
      <c r="R18" s="2030"/>
      <c r="S18" s="2030"/>
      <c r="T18" s="625"/>
      <c r="U18" s="625"/>
      <c r="V18" s="625"/>
      <c r="W18" s="1288"/>
    </row>
    <row r="19" spans="2:23" ht="18" x14ac:dyDescent="0.35">
      <c r="B19" s="1293"/>
      <c r="C19" s="1294"/>
      <c r="D19" s="1294"/>
      <c r="E19" s="1294"/>
      <c r="F19" s="1294"/>
      <c r="G19" s="1294"/>
      <c r="H19" s="1294"/>
      <c r="I19" s="1294"/>
      <c r="J19" s="1294"/>
      <c r="K19" s="1294"/>
      <c r="L19" s="1294"/>
      <c r="M19" s="1294"/>
      <c r="N19" s="1294"/>
      <c r="O19" s="1294"/>
      <c r="P19" s="1294"/>
      <c r="Q19" s="1294"/>
      <c r="R19" s="1294"/>
      <c r="S19" s="1294"/>
      <c r="T19" s="625"/>
      <c r="U19" s="625"/>
      <c r="V19" s="625"/>
      <c r="W19" s="1288"/>
    </row>
    <row r="20" spans="2:23" ht="18" x14ac:dyDescent="0.35">
      <c r="B20" s="1293"/>
      <c r="C20" s="1294"/>
      <c r="D20" s="1294"/>
      <c r="E20" s="1294"/>
      <c r="F20" s="1294"/>
      <c r="G20" s="1294"/>
      <c r="H20" s="1294"/>
      <c r="I20" s="1294"/>
      <c r="J20" s="1294"/>
      <c r="K20" s="1294"/>
      <c r="L20" s="1294"/>
      <c r="M20" s="1294"/>
      <c r="N20" s="1294"/>
      <c r="O20" s="1294"/>
      <c r="P20" s="1294"/>
      <c r="Q20" s="1294"/>
      <c r="R20" s="1294"/>
      <c r="S20" s="1294"/>
      <c r="T20" s="625"/>
      <c r="U20" s="625"/>
      <c r="V20" s="625"/>
      <c r="W20" s="1288"/>
    </row>
    <row r="21" spans="2:23" ht="18" x14ac:dyDescent="0.35">
      <c r="B21" s="1293"/>
      <c r="C21" s="1294"/>
      <c r="D21" s="1294"/>
      <c r="E21" s="1294"/>
      <c r="F21" s="1294"/>
      <c r="G21" s="1294"/>
      <c r="H21" s="1294"/>
      <c r="I21" s="1294"/>
      <c r="J21" s="1294"/>
      <c r="K21" s="1294"/>
      <c r="L21" s="1294"/>
      <c r="M21" s="1294"/>
      <c r="N21" s="1294"/>
      <c r="O21" s="1294"/>
      <c r="P21" s="1294"/>
      <c r="Q21" s="1294"/>
      <c r="R21" s="1294"/>
      <c r="S21" s="1294"/>
      <c r="T21" s="625"/>
      <c r="U21" s="625"/>
      <c r="V21" s="625"/>
      <c r="W21" s="1288"/>
    </row>
    <row r="22" spans="2:23" ht="18" x14ac:dyDescent="0.35">
      <c r="B22" s="1293"/>
      <c r="C22" s="1294"/>
      <c r="D22" s="1294"/>
      <c r="E22" s="1294"/>
      <c r="F22" s="1294"/>
      <c r="G22" s="1294"/>
      <c r="H22" s="1294"/>
      <c r="I22" s="1294"/>
      <c r="J22" s="1294"/>
      <c r="K22" s="1294"/>
      <c r="L22" s="1294"/>
      <c r="M22" s="1294"/>
      <c r="N22" s="1294"/>
      <c r="O22" s="1294"/>
      <c r="P22" s="1294"/>
      <c r="Q22" s="1294"/>
      <c r="R22" s="1294"/>
      <c r="S22" s="1294"/>
      <c r="T22" s="625"/>
      <c r="U22" s="625"/>
      <c r="V22" s="625"/>
      <c r="W22" s="1288"/>
    </row>
    <row r="23" spans="2:23" ht="18.600000000000001" thickBot="1" x14ac:dyDescent="0.4">
      <c r="B23" s="1295"/>
      <c r="C23" s="1296"/>
      <c r="D23" s="1296"/>
      <c r="E23" s="1296"/>
      <c r="F23" s="1296"/>
      <c r="G23" s="1296"/>
      <c r="H23" s="1296"/>
      <c r="I23" s="1296"/>
      <c r="J23" s="1296"/>
      <c r="K23" s="1296"/>
      <c r="L23" s="1296"/>
      <c r="M23" s="1296"/>
      <c r="N23" s="1296"/>
      <c r="O23" s="1296"/>
      <c r="P23" s="1296"/>
      <c r="Q23" s="1296"/>
      <c r="R23" s="1296"/>
      <c r="S23" s="1296"/>
      <c r="T23" s="1289"/>
      <c r="U23" s="1289"/>
      <c r="V23" s="1289"/>
      <c r="W23" s="1290"/>
    </row>
  </sheetData>
  <sheetProtection password="DA20" sheet="1" objects="1" scenarios="1"/>
  <mergeCells count="6">
    <mergeCell ref="R17:S17"/>
    <mergeCell ref="R7:S7"/>
    <mergeCell ref="R9:S9"/>
    <mergeCell ref="R11:S11"/>
    <mergeCell ref="R13:S13"/>
    <mergeCell ref="R15:S15"/>
  </mergeCells>
  <dataValidations count="1">
    <dataValidation type="list" allowBlank="1" showInputMessage="1" showErrorMessage="1" promptTitle="Select Response" sqref="R7:S7 R9:S9 R11:S11 R13:S13 R15:S15 R17:S17" xr:uid="{00000000-0002-0000-0100-000000000000}">
      <formula1>"Yes,No,Uncertain,N/A,Skip"</formula1>
    </dataValidation>
  </dataValidations>
  <hyperlinks>
    <hyperlink ref="D5" location="'0.Basic Project Data'!A1" display="Basic Project Data" xr:uid="{00000000-0004-0000-0100-000000000000}"/>
    <hyperlink ref="D7" location="'I.Strategic Suitability'!A1" display="Strategic Suitability" xr:uid="{00000000-0004-0000-0100-000001000000}"/>
    <hyperlink ref="D9" location="'II.Preliminary Feasibility'!A1" display="Preliminary Feasibility" xr:uid="{00000000-0004-0000-0100-000002000000}"/>
    <hyperlink ref="D11" location="'III.Risk Assessment'!A1" display="Risk Assessment" xr:uid="{00000000-0004-0000-0100-000003000000}"/>
    <hyperlink ref="D13" location="'IV.PPP Ability'!A1" display="PPP Ability" xr:uid="{00000000-0004-0000-0100-000004000000}"/>
    <hyperlink ref="D15" location="'V.Fiscal Affordability'!A1" display="Fiscal Affordability" xr:uid="{00000000-0004-0000-0100-000005000000}"/>
    <hyperlink ref="D17" location="'VI.Institutional Ability'!A1" display="Institutional Ability" xr:uid="{00000000-0004-0000-0100-000006000000}"/>
  </hyperlink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AU134"/>
  <sheetViews>
    <sheetView showGridLines="0" zoomScaleNormal="100" workbookViewId="0">
      <selection activeCell="C50" sqref="C50:H50"/>
    </sheetView>
  </sheetViews>
  <sheetFormatPr defaultColWidth="9.21875" defaultRowHeight="14.4" x14ac:dyDescent="0.3"/>
  <cols>
    <col min="1" max="3" width="3.44140625" style="1674" customWidth="1"/>
    <col min="4" max="4" width="37.44140625" style="1674" bestFit="1" customWidth="1"/>
    <col min="5" max="5" width="19.44140625" style="1674" customWidth="1"/>
    <col min="6" max="6" width="7.44140625" style="1674" customWidth="1"/>
    <col min="7" max="7" width="40.77734375" style="1674" customWidth="1"/>
    <col min="8" max="8" width="43.77734375" style="1674" customWidth="1"/>
    <col min="9" max="9" width="8.77734375" style="1674" customWidth="1"/>
    <col min="10" max="10" width="3.44140625" style="1674" customWidth="1"/>
    <col min="11" max="11" width="2.44140625" style="1674" customWidth="1"/>
    <col min="12" max="12" width="2.77734375" style="1674" customWidth="1"/>
    <col min="13" max="13" width="3.5546875" style="1674" customWidth="1"/>
    <col min="14" max="14" width="2.44140625" style="1674" customWidth="1"/>
    <col min="15" max="24" width="9.21875" style="1674"/>
    <col min="25" max="25" width="11" style="1674" customWidth="1"/>
    <col min="26" max="26" width="9.21875" style="1674"/>
    <col min="27" max="27" width="19.21875" style="1674" customWidth="1"/>
    <col min="28" max="30" width="9.21875" style="1674"/>
    <col min="31" max="31" width="15.5546875" style="1674" customWidth="1"/>
    <col min="32" max="32" width="9.21875" style="1674" customWidth="1"/>
    <col min="33" max="33" width="2.44140625" style="1674" customWidth="1"/>
    <col min="34" max="34" width="9.21875" style="1674"/>
    <col min="35" max="35" width="2.44140625" style="1674" customWidth="1"/>
    <col min="36" max="36" width="9.21875" style="1674"/>
    <col min="37" max="37" width="9.21875" style="1674" customWidth="1"/>
    <col min="38" max="16384" width="9.21875" style="1674"/>
  </cols>
  <sheetData>
    <row r="1" spans="1:35" ht="38.25" customHeight="1" thickTop="1" thickBot="1" x14ac:dyDescent="0.6">
      <c r="A1" s="1672"/>
      <c r="B1" s="1673" t="s">
        <v>624</v>
      </c>
      <c r="C1" s="1672"/>
      <c r="D1" s="1672"/>
      <c r="E1" s="1672"/>
      <c r="F1" s="1672"/>
      <c r="G1" s="1672"/>
      <c r="H1" s="1672"/>
      <c r="I1" s="1672"/>
      <c r="J1" s="1672"/>
      <c r="K1" s="1672"/>
      <c r="L1" s="1672"/>
      <c r="M1" s="1672"/>
      <c r="N1" s="1672"/>
      <c r="O1" s="1672"/>
      <c r="P1" s="1672"/>
      <c r="Q1" s="1672"/>
      <c r="R1" s="1672"/>
      <c r="S1" s="1672"/>
      <c r="T1" s="1672"/>
      <c r="U1" s="1672"/>
      <c r="V1" s="1672"/>
      <c r="W1" s="1672"/>
      <c r="X1" s="1672"/>
      <c r="Y1" s="1672"/>
      <c r="Z1" s="1672"/>
      <c r="AA1" s="1672"/>
      <c r="AB1" s="1672"/>
      <c r="AC1" s="1672"/>
      <c r="AD1" s="1672"/>
      <c r="AE1" s="1672"/>
      <c r="AF1" s="1672"/>
      <c r="AG1" s="1672"/>
      <c r="AH1" s="1672"/>
      <c r="AI1" s="1672"/>
    </row>
    <row r="2" spans="1:35" ht="51" customHeight="1" thickTop="1" x14ac:dyDescent="0.3">
      <c r="A2" s="2108" t="s">
        <v>610</v>
      </c>
      <c r="B2" s="2109"/>
      <c r="C2" s="2109"/>
      <c r="D2" s="2110"/>
      <c r="E2" s="2100" t="s">
        <v>1046</v>
      </c>
      <c r="F2" s="2101"/>
      <c r="G2" s="2101"/>
      <c r="H2" s="2101"/>
      <c r="I2" s="2101"/>
      <c r="J2" s="2101"/>
      <c r="K2" s="2102"/>
      <c r="AI2" s="1672"/>
    </row>
    <row r="3" spans="1:35" ht="15.6" customHeight="1" x14ac:dyDescent="0.3">
      <c r="A3" s="2111" t="s">
        <v>842</v>
      </c>
      <c r="B3" s="2112"/>
      <c r="C3" s="2112"/>
      <c r="D3" s="2113"/>
      <c r="E3" s="2103"/>
      <c r="F3" s="2103"/>
      <c r="G3" s="2103"/>
      <c r="H3" s="2103"/>
      <c r="I3" s="2103"/>
      <c r="J3" s="2103"/>
      <c r="K3" s="2104"/>
      <c r="AI3" s="1672"/>
    </row>
    <row r="4" spans="1:35" ht="36" customHeight="1" thickBot="1" x14ac:dyDescent="0.35">
      <c r="A4" s="2114"/>
      <c r="B4" s="2115"/>
      <c r="C4" s="2115"/>
      <c r="D4" s="2116"/>
      <c r="E4" s="2105"/>
      <c r="F4" s="2105"/>
      <c r="G4" s="2105"/>
      <c r="H4" s="2105"/>
      <c r="I4" s="2105"/>
      <c r="J4" s="2105"/>
      <c r="K4" s="2106"/>
      <c r="AI4" s="1672"/>
    </row>
    <row r="5" spans="1:35" ht="15" thickBot="1" x14ac:dyDescent="0.35">
      <c r="AI5" s="1672"/>
    </row>
    <row r="6" spans="1:35" ht="15.75" customHeight="1" x14ac:dyDescent="0.3">
      <c r="A6" s="1675" t="s">
        <v>271</v>
      </c>
      <c r="B6" s="1676"/>
      <c r="C6" s="1677" t="s">
        <v>44</v>
      </c>
      <c r="D6" s="1678" t="s">
        <v>469</v>
      </c>
      <c r="E6" s="2117" t="str">
        <f>Comments!G102</f>
        <v/>
      </c>
      <c r="F6" s="2118"/>
      <c r="G6" s="2119"/>
      <c r="H6" s="2031"/>
      <c r="I6" s="1679"/>
      <c r="J6" s="1680"/>
      <c r="K6" s="1681">
        <v>1</v>
      </c>
      <c r="N6" s="1672"/>
      <c r="O6" s="2107" t="s">
        <v>623</v>
      </c>
      <c r="P6" s="2107"/>
      <c r="Q6" s="1672"/>
      <c r="R6" s="1672"/>
      <c r="S6" s="1672"/>
      <c r="T6" s="1672"/>
      <c r="U6" s="1672"/>
      <c r="V6" s="1672"/>
      <c r="W6" s="1672"/>
      <c r="X6" s="1672"/>
      <c r="Y6" s="1672"/>
      <c r="Z6" s="1672"/>
      <c r="AA6" s="1672"/>
      <c r="AB6" s="1672"/>
      <c r="AC6" s="1672"/>
      <c r="AD6" s="1672"/>
      <c r="AE6" s="1672"/>
      <c r="AF6" s="1672"/>
      <c r="AG6" s="1672"/>
      <c r="AI6" s="1672"/>
    </row>
    <row r="7" spans="1:35" ht="21" x14ac:dyDescent="0.3">
      <c r="A7" s="1682"/>
      <c r="B7" s="1683"/>
      <c r="C7" s="1684" t="s">
        <v>175</v>
      </c>
      <c r="D7" s="1685" t="s">
        <v>470</v>
      </c>
      <c r="E7" s="2120" t="str">
        <f>Comments!G111</f>
        <v/>
      </c>
      <c r="F7" s="2121"/>
      <c r="G7" s="2122"/>
      <c r="H7" s="2032"/>
      <c r="I7" s="1686"/>
      <c r="J7" s="1687"/>
      <c r="K7" s="1688"/>
      <c r="N7" s="1672"/>
      <c r="O7" s="2107"/>
      <c r="P7" s="2107"/>
      <c r="Q7" s="1672"/>
      <c r="R7" s="1672"/>
      <c r="S7" s="1672"/>
      <c r="T7" s="1672"/>
      <c r="U7" s="1672"/>
      <c r="V7" s="1672"/>
      <c r="W7" s="1672"/>
      <c r="X7" s="1672"/>
      <c r="Y7" s="1672"/>
      <c r="Z7" s="1672"/>
      <c r="AA7" s="1672"/>
      <c r="AB7" s="1672"/>
      <c r="AC7" s="1672"/>
      <c r="AD7" s="1672"/>
      <c r="AE7" s="1672"/>
      <c r="AF7" s="1672"/>
      <c r="AG7" s="1672"/>
      <c r="AI7" s="1672"/>
    </row>
    <row r="8" spans="1:35" ht="15.75" customHeight="1" thickBot="1" x14ac:dyDescent="0.35">
      <c r="A8" s="1689"/>
      <c r="B8" s="1690"/>
      <c r="C8" s="1691" t="s">
        <v>176</v>
      </c>
      <c r="D8" s="1692" t="s">
        <v>122</v>
      </c>
      <c r="E8" s="2123"/>
      <c r="F8" s="2124"/>
      <c r="G8" s="2125"/>
      <c r="H8" s="2072"/>
      <c r="I8" s="1693"/>
      <c r="J8" s="1694"/>
      <c r="K8" s="1695"/>
      <c r="N8" s="1672"/>
      <c r="O8" s="2107"/>
      <c r="P8" s="2107"/>
      <c r="Q8" s="1672"/>
      <c r="R8" s="1672"/>
      <c r="S8" s="1672"/>
      <c r="T8" s="1672"/>
      <c r="U8" s="1672"/>
      <c r="V8" s="1672"/>
      <c r="W8" s="1672"/>
      <c r="X8" s="1672"/>
      <c r="Y8" s="1672"/>
      <c r="Z8" s="1672"/>
      <c r="AA8" s="1672"/>
      <c r="AB8" s="1672"/>
      <c r="AC8" s="1672"/>
      <c r="AD8" s="1672"/>
      <c r="AE8" s="1672"/>
      <c r="AF8" s="1672"/>
      <c r="AG8" s="1672"/>
      <c r="AI8" s="1672"/>
    </row>
    <row r="9" spans="1:35" ht="27" customHeight="1" thickBot="1" x14ac:dyDescent="0.35">
      <c r="A9" s="1696"/>
      <c r="B9" s="1697"/>
      <c r="C9" s="1698"/>
      <c r="D9" s="1698"/>
      <c r="E9" s="1698"/>
      <c r="F9" s="1698"/>
      <c r="G9" s="1698"/>
      <c r="H9" s="1699"/>
      <c r="I9" s="1699"/>
      <c r="J9" s="1700"/>
      <c r="K9" s="1688"/>
      <c r="N9" s="1701"/>
      <c r="O9" s="1702"/>
      <c r="P9" s="1703"/>
      <c r="Q9" s="1703"/>
      <c r="R9" s="1703"/>
      <c r="S9" s="1703"/>
      <c r="T9" s="1703"/>
      <c r="U9" s="1703"/>
      <c r="V9" s="1704"/>
      <c r="W9" s="1704"/>
      <c r="X9" s="1704"/>
      <c r="Y9" s="1704"/>
      <c r="Z9" s="1704"/>
      <c r="AA9" s="1704"/>
      <c r="AB9" s="1704"/>
      <c r="AC9" s="1704"/>
      <c r="AD9" s="1704"/>
      <c r="AE9" s="1704"/>
      <c r="AF9" s="1705"/>
      <c r="AG9" s="1672"/>
      <c r="AI9" s="1672"/>
    </row>
    <row r="10" spans="1:35" ht="16.2" thickBot="1" x14ac:dyDescent="0.35">
      <c r="A10" s="1706"/>
      <c r="B10" s="1707"/>
      <c r="C10" s="2126" t="s">
        <v>465</v>
      </c>
      <c r="D10" s="2127"/>
      <c r="E10" s="2127"/>
      <c r="F10" s="2127"/>
      <c r="G10" s="2127"/>
      <c r="H10" s="2128"/>
      <c r="I10" s="1801"/>
      <c r="J10" s="1708"/>
      <c r="K10" s="1688"/>
      <c r="N10" s="1672"/>
      <c r="O10" s="1800" t="s">
        <v>845</v>
      </c>
      <c r="P10" s="1710"/>
      <c r="Q10" s="1710"/>
      <c r="R10" s="1710"/>
      <c r="S10" s="1710"/>
      <c r="T10" s="1710"/>
      <c r="U10" s="1710"/>
      <c r="V10" s="1710"/>
      <c r="W10" s="1710"/>
      <c r="X10" s="1710"/>
      <c r="Y10" s="1710"/>
      <c r="Z10" s="1710"/>
      <c r="AA10" s="1710"/>
      <c r="AB10" s="1710"/>
      <c r="AC10" s="1711"/>
      <c r="AD10" s="1710"/>
      <c r="AE10" s="1710"/>
      <c r="AF10" s="1712"/>
      <c r="AG10" s="1672"/>
      <c r="AI10" s="1672"/>
    </row>
    <row r="11" spans="1:35" ht="15.75" customHeight="1" x14ac:dyDescent="0.3">
      <c r="A11" s="1713"/>
      <c r="B11" s="1714"/>
      <c r="C11" s="1802">
        <v>1</v>
      </c>
      <c r="D11" s="2129" t="s">
        <v>185</v>
      </c>
      <c r="E11" s="2129"/>
      <c r="F11" s="2129"/>
      <c r="G11" s="2129"/>
      <c r="H11" s="2033"/>
      <c r="I11" s="1803"/>
      <c r="J11" s="1716"/>
      <c r="K11" s="1688"/>
      <c r="N11" s="1672"/>
      <c r="O11" s="2130" t="s">
        <v>846</v>
      </c>
      <c r="P11" s="2131"/>
      <c r="Q11" s="2131"/>
      <c r="R11" s="2131"/>
      <c r="S11" s="2131"/>
      <c r="T11" s="2131"/>
      <c r="U11" s="2131"/>
      <c r="V11" s="2131"/>
      <c r="W11" s="2131"/>
      <c r="X11" s="2131"/>
      <c r="Y11" s="2131"/>
      <c r="Z11" s="2131"/>
      <c r="AA11" s="2131"/>
      <c r="AB11" s="2131"/>
      <c r="AC11" s="2131"/>
      <c r="AD11" s="2131"/>
      <c r="AE11" s="2131"/>
      <c r="AF11" s="2132"/>
      <c r="AG11" s="1672"/>
      <c r="AI11" s="1672"/>
    </row>
    <row r="12" spans="1:35" ht="15.6" x14ac:dyDescent="0.3">
      <c r="A12" s="1713"/>
      <c r="B12" s="1714"/>
      <c r="C12" s="1802">
        <v>2</v>
      </c>
      <c r="D12" s="2084" t="s">
        <v>186</v>
      </c>
      <c r="E12" s="2084"/>
      <c r="F12" s="2084"/>
      <c r="G12" s="2084"/>
      <c r="H12" s="2034"/>
      <c r="I12" s="1803"/>
      <c r="J12" s="1716"/>
      <c r="K12" s="1688"/>
      <c r="N12" s="1672"/>
      <c r="O12" s="2130"/>
      <c r="P12" s="2131"/>
      <c r="Q12" s="2131"/>
      <c r="R12" s="2131"/>
      <c r="S12" s="2131"/>
      <c r="T12" s="2131"/>
      <c r="U12" s="2131"/>
      <c r="V12" s="2131"/>
      <c r="W12" s="2131"/>
      <c r="X12" s="2131"/>
      <c r="Y12" s="2131"/>
      <c r="Z12" s="2131"/>
      <c r="AA12" s="2131"/>
      <c r="AB12" s="2131"/>
      <c r="AC12" s="2131"/>
      <c r="AD12" s="2131"/>
      <c r="AE12" s="2131"/>
      <c r="AF12" s="2132"/>
      <c r="AG12" s="1672"/>
      <c r="AI12" s="1672"/>
    </row>
    <row r="13" spans="1:35" ht="15.6" x14ac:dyDescent="0.3">
      <c r="A13" s="1713"/>
      <c r="B13" s="1714"/>
      <c r="C13" s="1802">
        <v>3</v>
      </c>
      <c r="D13" s="2084" t="s">
        <v>187</v>
      </c>
      <c r="E13" s="2084"/>
      <c r="F13" s="2084"/>
      <c r="G13" s="2084"/>
      <c r="H13" s="2014" t="s">
        <v>240</v>
      </c>
      <c r="I13" s="1803"/>
      <c r="J13" s="1716"/>
      <c r="K13" s="1688"/>
      <c r="M13" s="1717"/>
      <c r="N13" s="1672"/>
      <c r="O13" s="2130"/>
      <c r="P13" s="2131"/>
      <c r="Q13" s="2131"/>
      <c r="R13" s="2131"/>
      <c r="S13" s="2131"/>
      <c r="T13" s="2131"/>
      <c r="U13" s="2131"/>
      <c r="V13" s="2131"/>
      <c r="W13" s="2131"/>
      <c r="X13" s="2131"/>
      <c r="Y13" s="2131"/>
      <c r="Z13" s="2131"/>
      <c r="AA13" s="2131"/>
      <c r="AB13" s="2131"/>
      <c r="AC13" s="2131"/>
      <c r="AD13" s="2131"/>
      <c r="AE13" s="2131"/>
      <c r="AF13" s="2132"/>
      <c r="AG13" s="1672"/>
      <c r="AI13" s="1672"/>
    </row>
    <row r="14" spans="1:35" ht="15.6" x14ac:dyDescent="0.3">
      <c r="A14" s="1713"/>
      <c r="B14" s="1714"/>
      <c r="C14" s="1802">
        <v>4</v>
      </c>
      <c r="D14" s="2084" t="s">
        <v>165</v>
      </c>
      <c r="E14" s="2084"/>
      <c r="F14" s="2084"/>
      <c r="G14" s="2084"/>
      <c r="H14" s="2015" t="s">
        <v>166</v>
      </c>
      <c r="I14" s="1803"/>
      <c r="J14" s="1716"/>
      <c r="K14" s="1688"/>
      <c r="M14" s="1717"/>
      <c r="N14" s="1672"/>
      <c r="O14" s="2130"/>
      <c r="P14" s="2131"/>
      <c r="Q14" s="2131"/>
      <c r="R14" s="2131"/>
      <c r="S14" s="2131"/>
      <c r="T14" s="2131"/>
      <c r="U14" s="2131"/>
      <c r="V14" s="2131"/>
      <c r="W14" s="2131"/>
      <c r="X14" s="2131"/>
      <c r="Y14" s="2131"/>
      <c r="Z14" s="2131"/>
      <c r="AA14" s="2131"/>
      <c r="AB14" s="2131"/>
      <c r="AC14" s="2131"/>
      <c r="AD14" s="2131"/>
      <c r="AE14" s="2131"/>
      <c r="AF14" s="2132"/>
      <c r="AG14" s="1672"/>
      <c r="AI14" s="1672"/>
    </row>
    <row r="15" spans="1:35" ht="16.2" thickBot="1" x14ac:dyDescent="0.35">
      <c r="A15" s="1713"/>
      <c r="B15" s="1714"/>
      <c r="C15" s="1802">
        <v>5</v>
      </c>
      <c r="D15" s="2084" t="s">
        <v>188</v>
      </c>
      <c r="E15" s="2084"/>
      <c r="F15" s="2084"/>
      <c r="G15" s="2084"/>
      <c r="H15" s="2016"/>
      <c r="I15" s="1804" t="str">
        <f>H14</f>
        <v>USD Mn</v>
      </c>
      <c r="J15" s="1718"/>
      <c r="K15" s="1688"/>
      <c r="N15" s="1672"/>
      <c r="O15" s="2133"/>
      <c r="P15" s="2134"/>
      <c r="Q15" s="2134"/>
      <c r="R15" s="2134"/>
      <c r="S15" s="2134"/>
      <c r="T15" s="2134"/>
      <c r="U15" s="2134"/>
      <c r="V15" s="2134"/>
      <c r="W15" s="2134"/>
      <c r="X15" s="2134"/>
      <c r="Y15" s="2134"/>
      <c r="Z15" s="2134"/>
      <c r="AA15" s="2134"/>
      <c r="AB15" s="2134"/>
      <c r="AC15" s="2134"/>
      <c r="AD15" s="2134"/>
      <c r="AE15" s="2134"/>
      <c r="AF15" s="2135"/>
      <c r="AG15" s="1672"/>
      <c r="AI15" s="1672"/>
    </row>
    <row r="16" spans="1:35" ht="16.5" hidden="1" customHeight="1" thickBot="1" x14ac:dyDescent="0.35">
      <c r="A16" s="1713"/>
      <c r="B16" s="1714"/>
      <c r="C16" s="1805"/>
      <c r="D16" s="2099"/>
      <c r="E16" s="2099"/>
      <c r="F16" s="2099"/>
      <c r="G16" s="2099"/>
      <c r="H16" s="1806"/>
      <c r="I16" s="1806"/>
      <c r="J16" s="1718"/>
      <c r="K16" s="1688"/>
      <c r="N16" s="1672"/>
      <c r="O16" s="1720"/>
      <c r="P16" s="1721"/>
      <c r="Q16" s="1721"/>
      <c r="R16" s="1721"/>
      <c r="S16" s="1721"/>
      <c r="T16" s="1721"/>
      <c r="U16" s="1721"/>
      <c r="V16" s="1721"/>
      <c r="W16" s="1721"/>
      <c r="X16" s="1721"/>
      <c r="Y16" s="1721"/>
      <c r="Z16" s="1721"/>
      <c r="AA16" s="1721"/>
      <c r="AB16" s="1721"/>
      <c r="AC16" s="1711"/>
      <c r="AD16" s="1711"/>
      <c r="AE16" s="1711"/>
      <c r="AF16" s="1722"/>
      <c r="AG16" s="1672"/>
      <c r="AI16" s="1672"/>
    </row>
    <row r="17" spans="1:46" s="1721" customFormat="1" ht="16.8" thickTop="1" thickBot="1" x14ac:dyDescent="0.35">
      <c r="A17" s="1713"/>
      <c r="B17" s="1714"/>
      <c r="C17" s="1807" t="s">
        <v>466</v>
      </c>
      <c r="D17" s="2017"/>
      <c r="E17" s="1808"/>
      <c r="F17" s="1808"/>
      <c r="G17" s="1808"/>
      <c r="H17" s="1809" t="str">
        <f>IF(SUM('Data Analysis'!E249:E251)=0,"Not Applicable","")</f>
        <v/>
      </c>
      <c r="I17" s="1806"/>
      <c r="J17" s="1718"/>
      <c r="K17" s="1688"/>
      <c r="N17" s="1686"/>
      <c r="O17" s="1709" t="s">
        <v>611</v>
      </c>
      <c r="P17" s="1723"/>
      <c r="Q17" s="1723"/>
      <c r="R17" s="1723"/>
      <c r="S17" s="1723"/>
      <c r="T17" s="1723"/>
      <c r="U17" s="1723"/>
      <c r="V17" s="1723"/>
      <c r="W17" s="1723"/>
      <c r="X17" s="1723"/>
      <c r="Y17" s="1711"/>
      <c r="Z17" s="1711"/>
      <c r="AA17" s="1711"/>
      <c r="AB17" s="1711"/>
      <c r="AC17" s="1711"/>
      <c r="AD17" s="1711"/>
      <c r="AE17" s="1711"/>
      <c r="AF17" s="1722"/>
      <c r="AG17" s="1686"/>
      <c r="AI17" s="1686"/>
    </row>
    <row r="18" spans="1:46" ht="30.6" customHeight="1" x14ac:dyDescent="0.3">
      <c r="A18" s="1713"/>
      <c r="B18" s="1714"/>
      <c r="C18" s="1810">
        <f>IF(pre_1=0,0,1)</f>
        <v>1</v>
      </c>
      <c r="D18" s="2083" t="str">
        <f>IF('Data Analysis'!E249=1,Admin!C38,0)</f>
        <v>Is the project derived from a national plan or other medium- to long-term strategic document that establishes the development priorities at the highest levels of the government?</v>
      </c>
      <c r="E18" s="2083" t="s">
        <v>92</v>
      </c>
      <c r="F18" s="2083" t="s">
        <v>92</v>
      </c>
      <c r="G18" s="2083" t="s">
        <v>92</v>
      </c>
      <c r="H18" s="2018" t="s">
        <v>34</v>
      </c>
      <c r="I18" s="1806"/>
      <c r="J18" s="1718"/>
      <c r="K18" s="1688"/>
      <c r="N18" s="1672"/>
      <c r="O18" s="2093" t="s">
        <v>847</v>
      </c>
      <c r="P18" s="2094"/>
      <c r="Q18" s="2094"/>
      <c r="R18" s="2094"/>
      <c r="S18" s="2094"/>
      <c r="T18" s="2094"/>
      <c r="U18" s="2094"/>
      <c r="V18" s="2094"/>
      <c r="W18" s="2094"/>
      <c r="X18" s="2094"/>
      <c r="Y18" s="2094"/>
      <c r="Z18" s="2094"/>
      <c r="AA18" s="2094"/>
      <c r="AB18" s="2094"/>
      <c r="AC18" s="2094"/>
      <c r="AD18" s="2094"/>
      <c r="AE18" s="2094"/>
      <c r="AF18" s="2095"/>
      <c r="AG18" s="1672"/>
      <c r="AI18" s="1672"/>
    </row>
    <row r="19" spans="1:46" ht="18.600000000000001" customHeight="1" x14ac:dyDescent="0.3">
      <c r="A19" s="1713"/>
      <c r="B19" s="1714"/>
      <c r="C19" s="1810">
        <f>IF(pre_2=0,0,IF(C18=0,1,IF(C18=1,2)))</f>
        <v>2</v>
      </c>
      <c r="D19" s="2083" t="str">
        <f>IF('Data Analysis'!E250=1,Admin!C39,0)</f>
        <v>Is the project likely to be economically sound and have direct benefits that are significantly greater than the costs?</v>
      </c>
      <c r="E19" s="2083" t="s">
        <v>92</v>
      </c>
      <c r="F19" s="2083" t="s">
        <v>92</v>
      </c>
      <c r="G19" s="2083" t="s">
        <v>92</v>
      </c>
      <c r="H19" s="2018" t="s">
        <v>34</v>
      </c>
      <c r="I19" s="1806"/>
      <c r="J19" s="1718"/>
      <c r="K19" s="1688"/>
      <c r="N19" s="1672"/>
      <c r="O19" s="2093"/>
      <c r="P19" s="2094"/>
      <c r="Q19" s="2094"/>
      <c r="R19" s="2094"/>
      <c r="S19" s="2094"/>
      <c r="T19" s="2094"/>
      <c r="U19" s="2094"/>
      <c r="V19" s="2094"/>
      <c r="W19" s="2094"/>
      <c r="X19" s="2094"/>
      <c r="Y19" s="2094"/>
      <c r="Z19" s="2094"/>
      <c r="AA19" s="2094"/>
      <c r="AB19" s="2094"/>
      <c r="AC19" s="2094"/>
      <c r="AD19" s="2094"/>
      <c r="AE19" s="2094"/>
      <c r="AF19" s="2095"/>
      <c r="AG19" s="1672"/>
      <c r="AI19" s="1672"/>
    </row>
    <row r="20" spans="1:46" ht="20.55" customHeight="1" thickBot="1" x14ac:dyDescent="0.35">
      <c r="A20" s="1713"/>
      <c r="B20" s="1714"/>
      <c r="C20" s="1811">
        <f>IF(pre_3=0,0,IF(AND(C18=0,C19=0),1,IF(OR(AND(C18=0,C19=1),AND(C18=1,C19=0)),2,IF(AND(C18=1,C19=2),3,0))))</f>
        <v>3</v>
      </c>
      <c r="D20" s="2083" t="str">
        <f>IF('Data Analysis'!E251=1,Admin!C40,0)</f>
        <v>Do sector laws, regulations or policies allow private sector participation in the project?</v>
      </c>
      <c r="E20" s="2083" t="s">
        <v>92</v>
      </c>
      <c r="F20" s="2083" t="s">
        <v>92</v>
      </c>
      <c r="G20" s="2083" t="s">
        <v>92</v>
      </c>
      <c r="H20" s="2018" t="s">
        <v>34</v>
      </c>
      <c r="I20" s="1806"/>
      <c r="J20" s="1718"/>
      <c r="K20" s="1688"/>
      <c r="N20" s="1672"/>
      <c r="O20" s="2096"/>
      <c r="P20" s="2097"/>
      <c r="Q20" s="2097"/>
      <c r="R20" s="2097"/>
      <c r="S20" s="2097"/>
      <c r="T20" s="2097"/>
      <c r="U20" s="2097"/>
      <c r="V20" s="2097"/>
      <c r="W20" s="2097"/>
      <c r="X20" s="2097"/>
      <c r="Y20" s="2097"/>
      <c r="Z20" s="2097"/>
      <c r="AA20" s="2097"/>
      <c r="AB20" s="2097"/>
      <c r="AC20" s="2097"/>
      <c r="AD20" s="2097"/>
      <c r="AE20" s="2097"/>
      <c r="AF20" s="2098"/>
      <c r="AG20" s="1672"/>
      <c r="AI20" s="1672"/>
    </row>
    <row r="21" spans="1:46" ht="16.8" thickTop="1" thickBot="1" x14ac:dyDescent="0.35">
      <c r="A21" s="1713"/>
      <c r="B21" s="1714"/>
      <c r="C21" s="2126" t="s">
        <v>476</v>
      </c>
      <c r="D21" s="2127"/>
      <c r="E21" s="2127"/>
      <c r="F21" s="2127"/>
      <c r="G21" s="2127"/>
      <c r="H21" s="2128"/>
      <c r="I21" s="1801"/>
      <c r="J21" s="1708"/>
      <c r="K21" s="1688"/>
      <c r="N21" s="1672"/>
      <c r="O21" s="1800" t="s">
        <v>848</v>
      </c>
      <c r="P21" s="1723"/>
      <c r="Q21" s="1723"/>
      <c r="R21" s="1723"/>
      <c r="S21" s="1723"/>
      <c r="T21" s="1723"/>
      <c r="U21" s="1723"/>
      <c r="V21" s="1723"/>
      <c r="W21" s="1723"/>
      <c r="X21" s="1723"/>
      <c r="Y21" s="1723"/>
      <c r="Z21" s="1723"/>
      <c r="AA21" s="1723"/>
      <c r="AB21" s="1723"/>
      <c r="AC21" s="1711"/>
      <c r="AD21" s="1711"/>
      <c r="AE21" s="1711"/>
      <c r="AF21" s="1722"/>
      <c r="AG21" s="1672"/>
      <c r="AI21" s="1672"/>
    </row>
    <row r="22" spans="1:46" ht="27" customHeight="1" x14ac:dyDescent="0.3">
      <c r="A22" s="1713"/>
      <c r="B22" s="1714"/>
      <c r="C22" s="1811">
        <v>1</v>
      </c>
      <c r="D22" s="2082" t="s">
        <v>864</v>
      </c>
      <c r="E22" s="2082"/>
      <c r="F22" s="2082"/>
      <c r="G22" s="2082"/>
      <c r="H22" s="2016" t="s">
        <v>143</v>
      </c>
      <c r="I22" s="1801"/>
      <c r="J22" s="1708"/>
      <c r="K22" s="1688"/>
      <c r="N22" s="1672"/>
      <c r="O22" s="2093" t="s">
        <v>849</v>
      </c>
      <c r="P22" s="2094"/>
      <c r="Q22" s="2094"/>
      <c r="R22" s="2094"/>
      <c r="S22" s="2094"/>
      <c r="T22" s="2094"/>
      <c r="U22" s="2094"/>
      <c r="V22" s="2094"/>
      <c r="W22" s="2094"/>
      <c r="X22" s="2094"/>
      <c r="Y22" s="2094"/>
      <c r="Z22" s="2094"/>
      <c r="AA22" s="2094"/>
      <c r="AB22" s="2094"/>
      <c r="AC22" s="2094"/>
      <c r="AD22" s="2094"/>
      <c r="AE22" s="2094"/>
      <c r="AF22" s="2095"/>
      <c r="AG22" s="1672"/>
      <c r="AI22" s="1672"/>
    </row>
    <row r="23" spans="1:46" ht="31.5" customHeight="1" thickBot="1" x14ac:dyDescent="0.35">
      <c r="A23" s="1713"/>
      <c r="B23" s="1714"/>
      <c r="C23" s="1811">
        <f>IF(D23="","",2)</f>
        <v>2</v>
      </c>
      <c r="D23" s="2083" t="str">
        <f>IF($H$22='Data Analysis'!$C$159,'Data Analysis'!C173,"")</f>
        <v>Percentage share of Availability Payments in the total revenue</v>
      </c>
      <c r="E23" s="2083"/>
      <c r="F23" s="2083"/>
      <c r="G23" s="2083"/>
      <c r="H23" s="2019">
        <v>0.5</v>
      </c>
      <c r="I23" s="1804" t="str">
        <f>IF(D23="","","Percent")</f>
        <v>Percent</v>
      </c>
      <c r="J23" s="1718"/>
      <c r="K23" s="1688"/>
      <c r="N23" s="1672"/>
      <c r="O23" s="2096"/>
      <c r="P23" s="2097"/>
      <c r="Q23" s="2097"/>
      <c r="R23" s="2097"/>
      <c r="S23" s="2097"/>
      <c r="T23" s="2097"/>
      <c r="U23" s="2097"/>
      <c r="V23" s="2097"/>
      <c r="W23" s="2097"/>
      <c r="X23" s="2097"/>
      <c r="Y23" s="2097"/>
      <c r="Z23" s="2097"/>
      <c r="AA23" s="2097"/>
      <c r="AB23" s="2097"/>
      <c r="AC23" s="2097"/>
      <c r="AD23" s="2097"/>
      <c r="AE23" s="2097"/>
      <c r="AF23" s="2098"/>
      <c r="AG23" s="1672"/>
      <c r="AI23" s="1672"/>
    </row>
    <row r="24" spans="1:46" ht="17.25" customHeight="1" thickTop="1" thickBot="1" x14ac:dyDescent="0.35">
      <c r="A24" s="1713"/>
      <c r="B24" s="1714"/>
      <c r="C24" s="2126" t="s">
        <v>477</v>
      </c>
      <c r="D24" s="2127"/>
      <c r="E24" s="2127"/>
      <c r="F24" s="2127"/>
      <c r="G24" s="2127"/>
      <c r="H24" s="2128"/>
      <c r="I24" s="1804"/>
      <c r="J24" s="1718"/>
      <c r="K24" s="1688"/>
      <c r="N24" s="1672"/>
      <c r="O24" s="1800" t="s">
        <v>850</v>
      </c>
      <c r="P24" s="1970"/>
      <c r="Q24" s="1723"/>
      <c r="R24" s="1970"/>
      <c r="S24" s="1970"/>
      <c r="T24" s="1970"/>
      <c r="U24" s="1724"/>
      <c r="V24" s="1724"/>
      <c r="W24" s="1724"/>
      <c r="X24" s="1724"/>
      <c r="Y24" s="1724"/>
      <c r="Z24" s="1724"/>
      <c r="AA24" s="1724"/>
      <c r="AB24" s="1724"/>
      <c r="AC24" s="1711"/>
      <c r="AD24" s="1711"/>
      <c r="AE24" s="1711"/>
      <c r="AF24" s="1722"/>
      <c r="AG24" s="1672"/>
      <c r="AI24" s="1672"/>
    </row>
    <row r="25" spans="1:46" ht="35.549999999999997" customHeight="1" x14ac:dyDescent="0.3">
      <c r="A25" s="1713"/>
      <c r="B25" s="1714"/>
      <c r="C25" s="1811">
        <v>1</v>
      </c>
      <c r="D25" s="2083" t="s">
        <v>865</v>
      </c>
      <c r="E25" s="2083"/>
      <c r="F25" s="2083"/>
      <c r="G25" s="2083"/>
      <c r="H25" s="2020" t="s">
        <v>34</v>
      </c>
      <c r="I25" s="1804"/>
      <c r="J25" s="1718"/>
      <c r="K25" s="1688"/>
      <c r="N25" s="1672"/>
      <c r="O25" s="2093" t="s">
        <v>851</v>
      </c>
      <c r="P25" s="2094"/>
      <c r="Q25" s="2094"/>
      <c r="R25" s="2094"/>
      <c r="S25" s="2094"/>
      <c r="T25" s="2094"/>
      <c r="U25" s="2094"/>
      <c r="V25" s="2094"/>
      <c r="W25" s="2094"/>
      <c r="X25" s="2094"/>
      <c r="Y25" s="2094"/>
      <c r="Z25" s="2094"/>
      <c r="AA25" s="2094"/>
      <c r="AB25" s="2094"/>
      <c r="AC25" s="2094"/>
      <c r="AD25" s="2094"/>
      <c r="AE25" s="2094"/>
      <c r="AF25" s="2095"/>
      <c r="AG25" s="1672"/>
      <c r="AH25" s="2079" t="s">
        <v>862</v>
      </c>
      <c r="AI25" s="2080"/>
      <c r="AJ25" s="2080"/>
      <c r="AK25" s="2080"/>
      <c r="AL25" s="2080"/>
      <c r="AM25" s="2080"/>
      <c r="AN25" s="2080"/>
      <c r="AO25" s="2080"/>
      <c r="AP25" s="2080"/>
      <c r="AQ25" s="2080"/>
      <c r="AR25" s="2080"/>
      <c r="AS25" s="2080"/>
      <c r="AT25" s="2080"/>
    </row>
    <row r="26" spans="1:46" ht="36.6" customHeight="1" x14ac:dyDescent="0.3">
      <c r="A26" s="1713"/>
      <c r="B26" s="1714"/>
      <c r="C26" s="1811">
        <v>2</v>
      </c>
      <c r="D26" s="2083" t="str">
        <f>IF(H25=No,0,"Direct commitments by the government")</f>
        <v>Direct commitments by the government</v>
      </c>
      <c r="E26" s="2083"/>
      <c r="F26" s="2083"/>
      <c r="G26" s="2083"/>
      <c r="H26" s="2020">
        <v>0</v>
      </c>
      <c r="I26" s="1811" t="s">
        <v>471</v>
      </c>
      <c r="J26" s="1718"/>
      <c r="K26" s="1688"/>
      <c r="N26" s="1672"/>
      <c r="O26" s="2093"/>
      <c r="P26" s="2094"/>
      <c r="Q26" s="2094"/>
      <c r="R26" s="2094"/>
      <c r="S26" s="2094"/>
      <c r="T26" s="2094"/>
      <c r="U26" s="2094"/>
      <c r="V26" s="2094"/>
      <c r="W26" s="2094"/>
      <c r="X26" s="2094"/>
      <c r="Y26" s="2094"/>
      <c r="Z26" s="2094"/>
      <c r="AA26" s="2094"/>
      <c r="AB26" s="2094"/>
      <c r="AC26" s="2094"/>
      <c r="AD26" s="2094"/>
      <c r="AE26" s="2094"/>
      <c r="AF26" s="2095"/>
      <c r="AG26" s="1672"/>
      <c r="AH26" s="2079" t="s">
        <v>863</v>
      </c>
      <c r="AI26" s="2080"/>
      <c r="AJ26" s="2080"/>
      <c r="AK26" s="2080"/>
      <c r="AL26" s="2080"/>
      <c r="AM26" s="2080"/>
      <c r="AN26" s="2080"/>
      <c r="AO26" s="2080"/>
      <c r="AP26" s="2080"/>
      <c r="AQ26" s="2080"/>
      <c r="AR26" s="2080"/>
      <c r="AS26" s="2080"/>
      <c r="AT26" s="2080"/>
    </row>
    <row r="27" spans="1:46" ht="41.55" customHeight="1" thickBot="1" x14ac:dyDescent="0.35">
      <c r="A27" s="1713"/>
      <c r="B27" s="1714"/>
      <c r="C27" s="1811">
        <v>3</v>
      </c>
      <c r="D27" s="2083" t="str">
        <f>IF(H25=No,0,"Contingent liabilities")</f>
        <v>Contingent liabilities</v>
      </c>
      <c r="E27" s="2083"/>
      <c r="F27" s="2083"/>
      <c r="G27" s="2083"/>
      <c r="H27" s="2020">
        <v>0</v>
      </c>
      <c r="I27" s="1811" t="s">
        <v>471</v>
      </c>
      <c r="J27" s="1718"/>
      <c r="K27" s="1688"/>
      <c r="N27" s="1672"/>
      <c r="O27" s="2096"/>
      <c r="P27" s="2097"/>
      <c r="Q27" s="2097"/>
      <c r="R27" s="2097"/>
      <c r="S27" s="2097"/>
      <c r="T27" s="2097"/>
      <c r="U27" s="2097"/>
      <c r="V27" s="2097"/>
      <c r="W27" s="2097"/>
      <c r="X27" s="2097"/>
      <c r="Y27" s="2097"/>
      <c r="Z27" s="2097"/>
      <c r="AA27" s="2097"/>
      <c r="AB27" s="2097"/>
      <c r="AC27" s="2097"/>
      <c r="AD27" s="2097"/>
      <c r="AE27" s="2097"/>
      <c r="AF27" s="2098"/>
      <c r="AG27" s="1672"/>
      <c r="AI27" s="1672"/>
    </row>
    <row r="28" spans="1:46" ht="16.5" hidden="1" customHeight="1" thickBot="1" x14ac:dyDescent="0.35">
      <c r="A28" s="1713"/>
      <c r="B28" s="1714"/>
      <c r="C28" s="1811">
        <v>4</v>
      </c>
      <c r="D28" s="2083" t="s">
        <v>409</v>
      </c>
      <c r="E28" s="2083"/>
      <c r="F28" s="2083"/>
      <c r="G28" s="2083"/>
      <c r="H28" s="1812"/>
      <c r="I28" s="1804" t="s">
        <v>411</v>
      </c>
      <c r="J28" s="1718"/>
      <c r="K28" s="1688"/>
      <c r="N28" s="1672"/>
      <c r="O28" s="1725"/>
      <c r="P28" s="1724"/>
      <c r="Q28" s="1724"/>
      <c r="R28" s="1724"/>
      <c r="S28" s="1724"/>
      <c r="T28" s="1724"/>
      <c r="U28" s="1724"/>
      <c r="V28" s="1724"/>
      <c r="W28" s="1724"/>
      <c r="X28" s="1724"/>
      <c r="Y28" s="1724"/>
      <c r="Z28" s="1724"/>
      <c r="AA28" s="1724"/>
      <c r="AB28" s="1724"/>
      <c r="AC28" s="1711"/>
      <c r="AD28" s="1711"/>
      <c r="AE28" s="1711"/>
      <c r="AF28" s="1722"/>
      <c r="AG28" s="1672"/>
      <c r="AI28" s="1672"/>
    </row>
    <row r="29" spans="1:46" ht="16.8" thickTop="1" thickBot="1" x14ac:dyDescent="0.35">
      <c r="A29" s="1713"/>
      <c r="B29" s="1714"/>
      <c r="C29" s="2126" t="s">
        <v>478</v>
      </c>
      <c r="D29" s="2127"/>
      <c r="E29" s="2127"/>
      <c r="F29" s="2127"/>
      <c r="G29" s="2127"/>
      <c r="H29" s="2128"/>
      <c r="I29" s="1806"/>
      <c r="J29" s="1718"/>
      <c r="K29" s="1688"/>
      <c r="N29" s="1672"/>
      <c r="O29" s="1800" t="s">
        <v>852</v>
      </c>
      <c r="P29" s="1968"/>
      <c r="Q29" s="1968"/>
      <c r="R29" s="1968"/>
      <c r="S29" s="1968"/>
      <c r="T29" s="1724"/>
      <c r="U29" s="1724"/>
      <c r="V29" s="1724"/>
      <c r="W29" s="1724"/>
      <c r="X29" s="1724"/>
      <c r="Y29" s="1724"/>
      <c r="Z29" s="1724"/>
      <c r="AA29" s="1724"/>
      <c r="AB29" s="1724"/>
      <c r="AC29" s="1711"/>
      <c r="AD29" s="1711"/>
      <c r="AE29" s="1711"/>
      <c r="AF29" s="1722"/>
      <c r="AG29" s="1672"/>
      <c r="AI29" s="1672"/>
    </row>
    <row r="30" spans="1:46" ht="15.75" customHeight="1" x14ac:dyDescent="0.3">
      <c r="A30" s="1713"/>
      <c r="B30" s="1714"/>
      <c r="C30" s="1811">
        <v>1</v>
      </c>
      <c r="D30" s="2084" t="s">
        <v>866</v>
      </c>
      <c r="E30" s="2084"/>
      <c r="F30" s="2084"/>
      <c r="G30" s="2084"/>
      <c r="H30" s="2014" t="s">
        <v>119</v>
      </c>
      <c r="I30" s="1806"/>
      <c r="J30" s="1718"/>
      <c r="K30" s="1688"/>
      <c r="N30" s="1672"/>
      <c r="O30" s="2093" t="s">
        <v>853</v>
      </c>
      <c r="P30" s="2094"/>
      <c r="Q30" s="2094"/>
      <c r="R30" s="2094"/>
      <c r="S30" s="2094"/>
      <c r="T30" s="2094"/>
      <c r="U30" s="2094"/>
      <c r="V30" s="2094"/>
      <c r="W30" s="2094"/>
      <c r="X30" s="2094"/>
      <c r="Y30" s="2094"/>
      <c r="Z30" s="2094"/>
      <c r="AA30" s="2094"/>
      <c r="AB30" s="2094"/>
      <c r="AC30" s="2094"/>
      <c r="AD30" s="2094"/>
      <c r="AE30" s="2094"/>
      <c r="AF30" s="2095"/>
      <c r="AG30" s="1672"/>
      <c r="AI30" s="1672"/>
    </row>
    <row r="31" spans="1:46" ht="15.75" customHeight="1" x14ac:dyDescent="0.3">
      <c r="A31" s="1713"/>
      <c r="B31" s="1714"/>
      <c r="C31" s="1802">
        <f>C30+1</f>
        <v>2</v>
      </c>
      <c r="D31" s="2084" t="s">
        <v>867</v>
      </c>
      <c r="E31" s="2084"/>
      <c r="F31" s="2084"/>
      <c r="G31" s="2084"/>
      <c r="H31" s="2014" t="s">
        <v>34</v>
      </c>
      <c r="I31" s="1806"/>
      <c r="J31" s="1718"/>
      <c r="K31" s="1688"/>
      <c r="N31" s="1672"/>
      <c r="O31" s="2093"/>
      <c r="P31" s="2094"/>
      <c r="Q31" s="2094"/>
      <c r="R31" s="2094"/>
      <c r="S31" s="2094"/>
      <c r="T31" s="2094"/>
      <c r="U31" s="2094"/>
      <c r="V31" s="2094"/>
      <c r="W31" s="2094"/>
      <c r="X31" s="2094"/>
      <c r="Y31" s="2094"/>
      <c r="Z31" s="2094"/>
      <c r="AA31" s="2094"/>
      <c r="AB31" s="2094"/>
      <c r="AC31" s="2094"/>
      <c r="AD31" s="2094"/>
      <c r="AE31" s="2094"/>
      <c r="AF31" s="2095"/>
      <c r="AG31" s="1672"/>
      <c r="AI31" s="1672"/>
    </row>
    <row r="32" spans="1:46" ht="15.75" customHeight="1" x14ac:dyDescent="0.3">
      <c r="A32" s="1713"/>
      <c r="B32" s="1714"/>
      <c r="C32" s="1802">
        <f>C31+1</f>
        <v>3</v>
      </c>
      <c r="D32" s="2084" t="s">
        <v>868</v>
      </c>
      <c r="E32" s="2084"/>
      <c r="F32" s="2084"/>
      <c r="G32" s="2084"/>
      <c r="H32" s="2021">
        <v>0</v>
      </c>
      <c r="I32" s="1804" t="str">
        <f>H30</f>
        <v>Hectares</v>
      </c>
      <c r="J32" s="1726"/>
      <c r="K32" s="1688"/>
      <c r="N32" s="1672"/>
      <c r="O32" s="2093"/>
      <c r="P32" s="2094"/>
      <c r="Q32" s="2094"/>
      <c r="R32" s="2094"/>
      <c r="S32" s="2094"/>
      <c r="T32" s="2094"/>
      <c r="U32" s="2094"/>
      <c r="V32" s="2094"/>
      <c r="W32" s="2094"/>
      <c r="X32" s="2094"/>
      <c r="Y32" s="2094"/>
      <c r="Z32" s="2094"/>
      <c r="AA32" s="2094"/>
      <c r="AB32" s="2094"/>
      <c r="AC32" s="2094"/>
      <c r="AD32" s="2094"/>
      <c r="AE32" s="2094"/>
      <c r="AF32" s="2095"/>
      <c r="AG32" s="1672"/>
      <c r="AI32" s="1672"/>
    </row>
    <row r="33" spans="1:47" x14ac:dyDescent="0.3">
      <c r="A33" s="1713"/>
      <c r="B33" s="1714"/>
      <c r="C33" s="1802">
        <f t="shared" ref="C33:C36" si="0">C32+1</f>
        <v>4</v>
      </c>
      <c r="D33" s="2084" t="s">
        <v>869</v>
      </c>
      <c r="E33" s="2084"/>
      <c r="F33" s="2084"/>
      <c r="G33" s="2084"/>
      <c r="H33" s="2022">
        <v>0</v>
      </c>
      <c r="I33" s="1804" t="str">
        <f>H30</f>
        <v>Hectares</v>
      </c>
      <c r="J33" s="1726"/>
      <c r="K33" s="1688"/>
      <c r="N33" s="1672"/>
      <c r="O33" s="2093"/>
      <c r="P33" s="2094"/>
      <c r="Q33" s="2094"/>
      <c r="R33" s="2094"/>
      <c r="S33" s="2094"/>
      <c r="T33" s="2094"/>
      <c r="U33" s="2094"/>
      <c r="V33" s="2094"/>
      <c r="W33" s="2094"/>
      <c r="X33" s="2094"/>
      <c r="Y33" s="2094"/>
      <c r="Z33" s="2094"/>
      <c r="AA33" s="2094"/>
      <c r="AB33" s="2094"/>
      <c r="AC33" s="2094"/>
      <c r="AD33" s="2094"/>
      <c r="AE33" s="2094"/>
      <c r="AF33" s="2095"/>
      <c r="AG33" s="1672"/>
      <c r="AI33" s="1672"/>
    </row>
    <row r="34" spans="1:47" x14ac:dyDescent="0.3">
      <c r="A34" s="1713"/>
      <c r="B34" s="1714"/>
      <c r="C34" s="1802">
        <f t="shared" si="0"/>
        <v>5</v>
      </c>
      <c r="D34" s="2084" t="s">
        <v>118</v>
      </c>
      <c r="E34" s="2084"/>
      <c r="F34" s="2084"/>
      <c r="G34" s="2084"/>
      <c r="H34" s="1813">
        <f>IF(H31="Uncertain","",IF(H31="No",0,IF(H33&gt;H32,0,H32-H33)))</f>
        <v>0</v>
      </c>
      <c r="I34" s="1804" t="str">
        <f>I33</f>
        <v>Hectares</v>
      </c>
      <c r="J34" s="1726"/>
      <c r="K34" s="1688"/>
      <c r="N34" s="1672"/>
      <c r="O34" s="2093"/>
      <c r="P34" s="2094"/>
      <c r="Q34" s="2094"/>
      <c r="R34" s="2094"/>
      <c r="S34" s="2094"/>
      <c r="T34" s="2094"/>
      <c r="U34" s="2094"/>
      <c r="V34" s="2094"/>
      <c r="W34" s="2094"/>
      <c r="X34" s="2094"/>
      <c r="Y34" s="2094"/>
      <c r="Z34" s="2094"/>
      <c r="AA34" s="2094"/>
      <c r="AB34" s="2094"/>
      <c r="AC34" s="2094"/>
      <c r="AD34" s="2094"/>
      <c r="AE34" s="2094"/>
      <c r="AF34" s="2095"/>
      <c r="AG34" s="1672"/>
      <c r="AI34" s="1672"/>
    </row>
    <row r="35" spans="1:47" ht="15.75" customHeight="1" x14ac:dyDescent="0.3">
      <c r="A35" s="1713"/>
      <c r="B35" s="1714"/>
      <c r="C35" s="1802">
        <f t="shared" si="0"/>
        <v>6</v>
      </c>
      <c r="D35" s="2084" t="s">
        <v>870</v>
      </c>
      <c r="E35" s="2084"/>
      <c r="F35" s="2084"/>
      <c r="G35" s="2084"/>
      <c r="H35" s="2022">
        <v>0</v>
      </c>
      <c r="I35" s="1805"/>
      <c r="J35" s="1726"/>
      <c r="K35" s="1688"/>
      <c r="N35" s="1672"/>
      <c r="O35" s="2093"/>
      <c r="P35" s="2094"/>
      <c r="Q35" s="2094"/>
      <c r="R35" s="2094"/>
      <c r="S35" s="2094"/>
      <c r="T35" s="2094"/>
      <c r="U35" s="2094"/>
      <c r="V35" s="2094"/>
      <c r="W35" s="2094"/>
      <c r="X35" s="2094"/>
      <c r="Y35" s="2094"/>
      <c r="Z35" s="2094"/>
      <c r="AA35" s="2094"/>
      <c r="AB35" s="2094"/>
      <c r="AC35" s="2094"/>
      <c r="AD35" s="2094"/>
      <c r="AE35" s="2094"/>
      <c r="AF35" s="2095"/>
      <c r="AG35" s="1672"/>
      <c r="AI35" s="1672"/>
    </row>
    <row r="36" spans="1:47" ht="16.2" thickBot="1" x14ac:dyDescent="0.35">
      <c r="A36" s="1713"/>
      <c r="B36" s="1714"/>
      <c r="C36" s="1802">
        <f t="shared" si="0"/>
        <v>7</v>
      </c>
      <c r="D36" s="2138" t="s">
        <v>871</v>
      </c>
      <c r="E36" s="2138"/>
      <c r="F36" s="2138"/>
      <c r="G36" s="2138"/>
      <c r="H36" s="2014" t="s">
        <v>158</v>
      </c>
      <c r="I36" s="1801"/>
      <c r="J36" s="1708"/>
      <c r="K36" s="1688"/>
      <c r="N36" s="1672"/>
      <c r="O36" s="2096"/>
      <c r="P36" s="2097"/>
      <c r="Q36" s="2097"/>
      <c r="R36" s="2097"/>
      <c r="S36" s="2097"/>
      <c r="T36" s="2097"/>
      <c r="U36" s="2097"/>
      <c r="V36" s="2097"/>
      <c r="W36" s="2097"/>
      <c r="X36" s="2097"/>
      <c r="Y36" s="2097"/>
      <c r="Z36" s="2097"/>
      <c r="AA36" s="2097"/>
      <c r="AB36" s="2097"/>
      <c r="AC36" s="2097"/>
      <c r="AD36" s="2097"/>
      <c r="AE36" s="2097"/>
      <c r="AF36" s="2098"/>
      <c r="AG36" s="1672"/>
      <c r="AI36" s="1672"/>
    </row>
    <row r="37" spans="1:47" ht="15.75" customHeight="1" thickBot="1" x14ac:dyDescent="0.35">
      <c r="A37" s="1713"/>
      <c r="B37" s="1714"/>
      <c r="C37" s="2126" t="s">
        <v>479</v>
      </c>
      <c r="D37" s="2127"/>
      <c r="E37" s="2127"/>
      <c r="F37" s="2127"/>
      <c r="G37" s="2127"/>
      <c r="H37" s="2128"/>
      <c r="I37" s="1806"/>
      <c r="J37" s="1718"/>
      <c r="K37" s="1688"/>
      <c r="N37" s="1672"/>
      <c r="O37" s="1800" t="s">
        <v>854</v>
      </c>
      <c r="P37" s="1724"/>
      <c r="Q37" s="1724"/>
      <c r="R37" s="1724"/>
      <c r="S37" s="1724"/>
      <c r="T37" s="1724"/>
      <c r="U37" s="1724"/>
      <c r="V37" s="1724"/>
      <c r="W37" s="1724"/>
      <c r="X37" s="1724"/>
      <c r="Y37" s="1724"/>
      <c r="Z37" s="1724"/>
      <c r="AA37" s="1724"/>
      <c r="AB37" s="1724"/>
      <c r="AC37" s="1711"/>
      <c r="AD37" s="1711"/>
      <c r="AE37" s="1711"/>
      <c r="AF37" s="1722"/>
      <c r="AG37" s="1672"/>
      <c r="AI37" s="1672"/>
    </row>
    <row r="38" spans="1:47" ht="19.05" customHeight="1" x14ac:dyDescent="0.3">
      <c r="A38" s="1713"/>
      <c r="B38" s="1714"/>
      <c r="C38" s="1802">
        <v>1</v>
      </c>
      <c r="D38" s="2129" t="s">
        <v>872</v>
      </c>
      <c r="E38" s="2129"/>
      <c r="F38" s="2129"/>
      <c r="G38" s="2129"/>
      <c r="H38" s="2023">
        <v>0</v>
      </c>
      <c r="I38" s="1814" t="s">
        <v>116</v>
      </c>
      <c r="J38" s="1718"/>
      <c r="K38" s="1688"/>
      <c r="N38" s="1672"/>
      <c r="O38" s="2093" t="s">
        <v>855</v>
      </c>
      <c r="P38" s="2094"/>
      <c r="Q38" s="2094"/>
      <c r="R38" s="2094"/>
      <c r="S38" s="2094"/>
      <c r="T38" s="2094"/>
      <c r="U38" s="2094"/>
      <c r="V38" s="2094"/>
      <c r="W38" s="2094"/>
      <c r="X38" s="2094"/>
      <c r="Y38" s="2094"/>
      <c r="Z38" s="2094"/>
      <c r="AA38" s="2094"/>
      <c r="AB38" s="2094"/>
      <c r="AC38" s="2094"/>
      <c r="AD38" s="2094"/>
      <c r="AE38" s="2094"/>
      <c r="AF38" s="2095"/>
      <c r="AG38" s="1672"/>
      <c r="AI38" s="1672"/>
      <c r="AL38" s="2136"/>
      <c r="AM38" s="2136"/>
      <c r="AN38" s="2136"/>
      <c r="AO38" s="2136"/>
      <c r="AP38" s="2136"/>
      <c r="AQ38" s="2136"/>
      <c r="AR38" s="2136"/>
      <c r="AS38" s="2136"/>
      <c r="AT38" s="2136"/>
      <c r="AU38" s="2136"/>
    </row>
    <row r="39" spans="1:47" ht="24" customHeight="1" thickBot="1" x14ac:dyDescent="0.35">
      <c r="A39" s="1713"/>
      <c r="B39" s="1714"/>
      <c r="C39" s="1802">
        <v>2</v>
      </c>
      <c r="D39" s="2138" t="s">
        <v>173</v>
      </c>
      <c r="E39" s="2138"/>
      <c r="F39" s="2138"/>
      <c r="G39" s="2138"/>
      <c r="H39" s="2023">
        <v>0</v>
      </c>
      <c r="I39" s="1814" t="str">
        <f>I38</f>
        <v>Percent</v>
      </c>
      <c r="J39" s="1718"/>
      <c r="K39" s="1688"/>
      <c r="N39" s="1672"/>
      <c r="O39" s="2096"/>
      <c r="P39" s="2097"/>
      <c r="Q39" s="2097"/>
      <c r="R39" s="2097"/>
      <c r="S39" s="2097"/>
      <c r="T39" s="2097"/>
      <c r="U39" s="2097"/>
      <c r="V39" s="2097"/>
      <c r="W39" s="2097"/>
      <c r="X39" s="2097"/>
      <c r="Y39" s="2097"/>
      <c r="Z39" s="2097"/>
      <c r="AA39" s="2097"/>
      <c r="AB39" s="2097"/>
      <c r="AC39" s="2097"/>
      <c r="AD39" s="2097"/>
      <c r="AE39" s="2097"/>
      <c r="AF39" s="2098"/>
      <c r="AG39" s="1672"/>
      <c r="AI39" s="1672"/>
      <c r="AL39" s="2136"/>
      <c r="AM39" s="2136"/>
      <c r="AN39" s="2136"/>
      <c r="AO39" s="2136"/>
      <c r="AP39" s="2136"/>
      <c r="AQ39" s="2136"/>
      <c r="AR39" s="2136"/>
      <c r="AS39" s="2136"/>
      <c r="AT39" s="2136"/>
      <c r="AU39" s="2136"/>
    </row>
    <row r="40" spans="1:47" ht="15.75" customHeight="1" thickBot="1" x14ac:dyDescent="0.35">
      <c r="A40" s="1713"/>
      <c r="B40" s="1714"/>
      <c r="C40" s="2126" t="s">
        <v>480</v>
      </c>
      <c r="D40" s="2127"/>
      <c r="E40" s="2127"/>
      <c r="F40" s="2127"/>
      <c r="G40" s="2127"/>
      <c r="H40" s="2128"/>
      <c r="I40" s="1806"/>
      <c r="J40" s="1718"/>
      <c r="K40" s="1688"/>
      <c r="N40" s="1672"/>
      <c r="O40" s="1800" t="s">
        <v>856</v>
      </c>
      <c r="P40" s="1723"/>
      <c r="Q40" s="1723"/>
      <c r="R40" s="1723"/>
      <c r="S40" s="1723"/>
      <c r="T40" s="1723"/>
      <c r="U40" s="1723"/>
      <c r="V40" s="1723"/>
      <c r="W40" s="1723"/>
      <c r="X40" s="1723"/>
      <c r="Y40" s="1711"/>
      <c r="Z40" s="1711"/>
      <c r="AA40" s="1711"/>
      <c r="AB40" s="1711"/>
      <c r="AC40" s="1711"/>
      <c r="AD40" s="1711"/>
      <c r="AE40" s="1711"/>
      <c r="AF40" s="1722"/>
      <c r="AG40" s="1672"/>
      <c r="AI40" s="1672"/>
    </row>
    <row r="41" spans="1:47" ht="14.25" customHeight="1" x14ac:dyDescent="0.3">
      <c r="A41" s="1713"/>
      <c r="B41" s="1727"/>
      <c r="C41" s="1815">
        <v>1</v>
      </c>
      <c r="D41" s="2085" t="s">
        <v>873</v>
      </c>
      <c r="E41" s="2085"/>
      <c r="F41" s="2085"/>
      <c r="G41" s="2085"/>
      <c r="H41" s="2024">
        <v>0</v>
      </c>
      <c r="I41" s="1814" t="str">
        <f>I39</f>
        <v>Percent</v>
      </c>
      <c r="J41" s="1726"/>
      <c r="K41" s="1688"/>
      <c r="N41" s="1672"/>
      <c r="O41" s="2139" t="s">
        <v>857</v>
      </c>
      <c r="P41" s="2081"/>
      <c r="Q41" s="2081"/>
      <c r="R41" s="2081"/>
      <c r="S41" s="2081"/>
      <c r="T41" s="2081"/>
      <c r="U41" s="2081"/>
      <c r="V41" s="2081"/>
      <c r="W41" s="2081"/>
      <c r="X41" s="2081"/>
      <c r="Y41" s="2081"/>
      <c r="Z41" s="2081"/>
      <c r="AA41" s="2081"/>
      <c r="AB41" s="2081"/>
      <c r="AC41" s="2081"/>
      <c r="AD41" s="2081"/>
      <c r="AE41" s="2081"/>
      <c r="AF41" s="2140"/>
      <c r="AG41" s="1672"/>
      <c r="AI41" s="1672"/>
    </row>
    <row r="42" spans="1:47" ht="14.25" customHeight="1" x14ac:dyDescent="0.3">
      <c r="A42" s="1713"/>
      <c r="B42" s="1727"/>
      <c r="C42" s="1815">
        <v>2</v>
      </c>
      <c r="D42" s="2092" t="s">
        <v>874</v>
      </c>
      <c r="E42" s="2092"/>
      <c r="F42" s="2092"/>
      <c r="G42" s="2092"/>
      <c r="H42" s="2025">
        <v>0</v>
      </c>
      <c r="I42" s="1814" t="str">
        <f t="shared" ref="I42:I43" si="1">I41</f>
        <v>Percent</v>
      </c>
      <c r="J42" s="1726"/>
      <c r="K42" s="1688"/>
      <c r="N42" s="1672"/>
      <c r="O42" s="2139"/>
      <c r="P42" s="2081"/>
      <c r="Q42" s="2081"/>
      <c r="R42" s="2081"/>
      <c r="S42" s="2081"/>
      <c r="T42" s="2081"/>
      <c r="U42" s="2081"/>
      <c r="V42" s="2081"/>
      <c r="W42" s="2081"/>
      <c r="X42" s="2081"/>
      <c r="Y42" s="2081"/>
      <c r="Z42" s="2081"/>
      <c r="AA42" s="2081"/>
      <c r="AB42" s="2081"/>
      <c r="AC42" s="2081"/>
      <c r="AD42" s="2081"/>
      <c r="AE42" s="2081"/>
      <c r="AF42" s="2140"/>
      <c r="AG42" s="1672"/>
      <c r="AI42" s="1672"/>
    </row>
    <row r="43" spans="1:47" ht="14.25" customHeight="1" x14ac:dyDescent="0.3">
      <c r="A43" s="1713"/>
      <c r="B43" s="1727"/>
      <c r="C43" s="1815">
        <v>3</v>
      </c>
      <c r="D43" s="2092" t="s">
        <v>117</v>
      </c>
      <c r="E43" s="2092"/>
      <c r="F43" s="2092"/>
      <c r="G43" s="2092"/>
      <c r="H43" s="2025">
        <v>0</v>
      </c>
      <c r="I43" s="1814" t="str">
        <f t="shared" si="1"/>
        <v>Percent</v>
      </c>
      <c r="J43" s="1726"/>
      <c r="K43" s="1688"/>
      <c r="N43" s="1672"/>
      <c r="O43" s="2139"/>
      <c r="P43" s="2081"/>
      <c r="Q43" s="2081"/>
      <c r="R43" s="2081"/>
      <c r="S43" s="2081"/>
      <c r="T43" s="2081"/>
      <c r="U43" s="2081"/>
      <c r="V43" s="2081"/>
      <c r="W43" s="2081"/>
      <c r="X43" s="2081"/>
      <c r="Y43" s="2081"/>
      <c r="Z43" s="2081"/>
      <c r="AA43" s="2081"/>
      <c r="AB43" s="2081"/>
      <c r="AC43" s="2081"/>
      <c r="AD43" s="2081"/>
      <c r="AE43" s="2081"/>
      <c r="AF43" s="2140"/>
      <c r="AG43" s="1672"/>
      <c r="AI43" s="1672"/>
    </row>
    <row r="44" spans="1:47" ht="14.25" customHeight="1" x14ac:dyDescent="0.3">
      <c r="A44" s="1713"/>
      <c r="B44" s="1727"/>
      <c r="C44" s="1815">
        <v>4</v>
      </c>
      <c r="D44" s="2085" t="s">
        <v>875</v>
      </c>
      <c r="E44" s="2085"/>
      <c r="F44" s="2085"/>
      <c r="G44" s="2085"/>
      <c r="H44" s="2026">
        <v>0</v>
      </c>
      <c r="I44" s="1805"/>
      <c r="J44" s="1726"/>
      <c r="K44" s="1688"/>
      <c r="N44" s="1672"/>
      <c r="O44" s="2139"/>
      <c r="P44" s="2081"/>
      <c r="Q44" s="2081"/>
      <c r="R44" s="2081"/>
      <c r="S44" s="2081"/>
      <c r="T44" s="2081"/>
      <c r="U44" s="2081"/>
      <c r="V44" s="2081"/>
      <c r="W44" s="2081"/>
      <c r="X44" s="2081"/>
      <c r="Y44" s="2081"/>
      <c r="Z44" s="2081"/>
      <c r="AA44" s="2081"/>
      <c r="AB44" s="2081"/>
      <c r="AC44" s="2081"/>
      <c r="AD44" s="2081"/>
      <c r="AE44" s="2081"/>
      <c r="AF44" s="2140"/>
      <c r="AG44" s="1672"/>
      <c r="AI44" s="1672"/>
    </row>
    <row r="45" spans="1:47" ht="14.25" customHeight="1" x14ac:dyDescent="0.3">
      <c r="A45" s="1713"/>
      <c r="B45" s="1727"/>
      <c r="C45" s="1815">
        <v>5</v>
      </c>
      <c r="D45" s="2085" t="s">
        <v>876</v>
      </c>
      <c r="E45" s="2085"/>
      <c r="F45" s="2085"/>
      <c r="G45" s="2085"/>
      <c r="H45" s="2026">
        <v>0</v>
      </c>
      <c r="I45" s="1805"/>
      <c r="J45" s="1726"/>
      <c r="K45" s="1688"/>
      <c r="N45" s="1672"/>
      <c r="O45" s="2139"/>
      <c r="P45" s="2081"/>
      <c r="Q45" s="2081"/>
      <c r="R45" s="2081"/>
      <c r="S45" s="2081"/>
      <c r="T45" s="2081"/>
      <c r="U45" s="2081"/>
      <c r="V45" s="2081"/>
      <c r="W45" s="2081"/>
      <c r="X45" s="2081"/>
      <c r="Y45" s="2081"/>
      <c r="Z45" s="2081"/>
      <c r="AA45" s="2081"/>
      <c r="AB45" s="2081"/>
      <c r="AC45" s="2081"/>
      <c r="AD45" s="2081"/>
      <c r="AE45" s="2081"/>
      <c r="AF45" s="2140"/>
      <c r="AG45" s="1672"/>
      <c r="AI45" s="1672"/>
    </row>
    <row r="46" spans="1:47" ht="14.25" customHeight="1" x14ac:dyDescent="0.3">
      <c r="A46" s="1713"/>
      <c r="B46" s="1727"/>
      <c r="C46" s="1815">
        <v>6</v>
      </c>
      <c r="D46" s="2085" t="s">
        <v>877</v>
      </c>
      <c r="E46" s="2085"/>
      <c r="F46" s="2085"/>
      <c r="G46" s="2085"/>
      <c r="H46" s="2026">
        <v>0</v>
      </c>
      <c r="I46" s="1805"/>
      <c r="J46" s="1726"/>
      <c r="K46" s="1688"/>
      <c r="N46" s="1672"/>
      <c r="O46" s="2139"/>
      <c r="P46" s="2081"/>
      <c r="Q46" s="2081"/>
      <c r="R46" s="2081"/>
      <c r="S46" s="2081"/>
      <c r="T46" s="2081"/>
      <c r="U46" s="2081"/>
      <c r="V46" s="2081"/>
      <c r="W46" s="2081"/>
      <c r="X46" s="2081"/>
      <c r="Y46" s="2081"/>
      <c r="Z46" s="2081"/>
      <c r="AA46" s="2081"/>
      <c r="AB46" s="2081"/>
      <c r="AC46" s="2081"/>
      <c r="AD46" s="2081"/>
      <c r="AE46" s="2081"/>
      <c r="AF46" s="2140"/>
      <c r="AG46" s="1672"/>
      <c r="AI46" s="1672"/>
    </row>
    <row r="47" spans="1:47" ht="14.25" customHeight="1" x14ac:dyDescent="0.3">
      <c r="A47" s="1713"/>
      <c r="B47" s="1727"/>
      <c r="C47" s="1815">
        <v>7</v>
      </c>
      <c r="D47" s="2085" t="s">
        <v>198</v>
      </c>
      <c r="E47" s="2085"/>
      <c r="F47" s="2085"/>
      <c r="G47" s="2085"/>
      <c r="H47" s="2025">
        <v>0</v>
      </c>
      <c r="I47" s="1814" t="str">
        <f>I43</f>
        <v>Percent</v>
      </c>
      <c r="J47" s="1726"/>
      <c r="K47" s="1688"/>
      <c r="N47" s="1672"/>
      <c r="O47" s="2139"/>
      <c r="P47" s="2081"/>
      <c r="Q47" s="2081"/>
      <c r="R47" s="2081"/>
      <c r="S47" s="2081"/>
      <c r="T47" s="2081"/>
      <c r="U47" s="2081"/>
      <c r="V47" s="2081"/>
      <c r="W47" s="2081"/>
      <c r="X47" s="2081"/>
      <c r="Y47" s="2081"/>
      <c r="Z47" s="2081"/>
      <c r="AA47" s="2081"/>
      <c r="AB47" s="2081"/>
      <c r="AC47" s="2081"/>
      <c r="AD47" s="2081"/>
      <c r="AE47" s="2081"/>
      <c r="AF47" s="2140"/>
      <c r="AG47" s="1672"/>
      <c r="AI47" s="1672"/>
    </row>
    <row r="48" spans="1:47" ht="14.25" customHeight="1" thickBot="1" x14ac:dyDescent="0.35">
      <c r="A48" s="1713"/>
      <c r="B48" s="1727"/>
      <c r="C48" s="1815">
        <v>8</v>
      </c>
      <c r="D48" s="2085" t="s">
        <v>878</v>
      </c>
      <c r="E48" s="2085"/>
      <c r="F48" s="2085"/>
      <c r="G48" s="2085"/>
      <c r="H48" s="2025">
        <v>0</v>
      </c>
      <c r="I48" s="1814" t="str">
        <f>I47</f>
        <v>Percent</v>
      </c>
      <c r="J48" s="1726"/>
      <c r="K48" s="1688"/>
      <c r="N48" s="1672"/>
      <c r="O48" s="2141"/>
      <c r="P48" s="2142"/>
      <c r="Q48" s="2142"/>
      <c r="R48" s="2142"/>
      <c r="S48" s="2142"/>
      <c r="T48" s="2142"/>
      <c r="U48" s="2142"/>
      <c r="V48" s="2142"/>
      <c r="W48" s="2142"/>
      <c r="X48" s="2142"/>
      <c r="Y48" s="2142"/>
      <c r="Z48" s="2142"/>
      <c r="AA48" s="2142"/>
      <c r="AB48" s="2142"/>
      <c r="AC48" s="2142"/>
      <c r="AD48" s="2142"/>
      <c r="AE48" s="2142"/>
      <c r="AF48" s="2143"/>
      <c r="AG48" s="1672"/>
      <c r="AI48" s="1672"/>
      <c r="AL48" s="2137"/>
      <c r="AM48" s="2137"/>
      <c r="AN48" s="2137"/>
      <c r="AO48" s="2137"/>
      <c r="AP48" s="2137"/>
      <c r="AQ48" s="2137"/>
      <c r="AR48" s="2137"/>
      <c r="AS48" s="2137"/>
      <c r="AT48" s="2137"/>
      <c r="AU48" s="2137"/>
    </row>
    <row r="49" spans="1:47" ht="15.75" hidden="1" customHeight="1" thickBot="1" x14ac:dyDescent="0.35">
      <c r="A49" s="1713"/>
      <c r="B49" s="1727"/>
      <c r="C49" s="1816"/>
      <c r="D49" s="2145"/>
      <c r="E49" s="2145"/>
      <c r="F49" s="2145"/>
      <c r="G49" s="2145"/>
      <c r="H49" s="1817"/>
      <c r="I49" s="1805"/>
      <c r="J49" s="1726"/>
      <c r="K49" s="1688"/>
      <c r="N49" s="1672"/>
      <c r="O49" s="1728"/>
      <c r="P49" s="1729"/>
      <c r="Q49" s="1729"/>
      <c r="R49" s="1729"/>
      <c r="S49" s="1729"/>
      <c r="T49" s="1729"/>
      <c r="U49" s="1729"/>
      <c r="V49" s="1729"/>
      <c r="W49" s="1729"/>
      <c r="X49" s="1729"/>
      <c r="Y49" s="1729"/>
      <c r="Z49" s="1729"/>
      <c r="AA49" s="1729"/>
      <c r="AB49" s="1729"/>
      <c r="AC49" s="1711"/>
      <c r="AD49" s="1711"/>
      <c r="AE49" s="1711"/>
      <c r="AF49" s="1722"/>
      <c r="AG49" s="1672"/>
      <c r="AI49" s="1672"/>
      <c r="AL49" s="2137"/>
      <c r="AM49" s="2137"/>
      <c r="AN49" s="2137"/>
      <c r="AO49" s="2137"/>
      <c r="AP49" s="2137"/>
      <c r="AQ49" s="2137"/>
      <c r="AR49" s="2137"/>
      <c r="AS49" s="2137"/>
      <c r="AT49" s="2137"/>
      <c r="AU49" s="2137"/>
    </row>
    <row r="50" spans="1:47" ht="15.6" thickTop="1" thickBot="1" x14ac:dyDescent="0.35">
      <c r="A50" s="1713"/>
      <c r="B50" s="1714"/>
      <c r="C50" s="2126" t="s">
        <v>1053</v>
      </c>
      <c r="D50" s="2127"/>
      <c r="E50" s="2127"/>
      <c r="F50" s="2127"/>
      <c r="G50" s="2127"/>
      <c r="H50" s="2128"/>
      <c r="I50" s="1805"/>
      <c r="J50" s="1726"/>
      <c r="K50" s="1688"/>
      <c r="N50" s="1672"/>
      <c r="O50" s="1800" t="s">
        <v>858</v>
      </c>
      <c r="P50" s="1711"/>
      <c r="Q50" s="1711"/>
      <c r="R50" s="1711"/>
      <c r="S50" s="1711"/>
      <c r="T50" s="1711"/>
      <c r="U50" s="1711"/>
      <c r="V50" s="1711"/>
      <c r="W50" s="1711"/>
      <c r="X50" s="1711"/>
      <c r="Y50" s="1711"/>
      <c r="Z50" s="1711"/>
      <c r="AA50" s="1711"/>
      <c r="AB50" s="1711"/>
      <c r="AC50" s="1711"/>
      <c r="AD50" s="1711"/>
      <c r="AE50" s="1711"/>
      <c r="AF50" s="1722"/>
      <c r="AG50" s="1672"/>
      <c r="AI50" s="1672"/>
      <c r="AL50" s="1730"/>
      <c r="AM50" s="1730"/>
      <c r="AN50" s="1730"/>
      <c r="AO50" s="1730"/>
      <c r="AP50" s="1730"/>
      <c r="AQ50" s="1730"/>
      <c r="AR50" s="1730"/>
    </row>
    <row r="51" spans="1:47" ht="15.75" customHeight="1" x14ac:dyDescent="0.3">
      <c r="A51" s="1713"/>
      <c r="B51" s="1714"/>
      <c r="C51" s="1801">
        <v>1</v>
      </c>
      <c r="D51" s="2082" t="str">
        <f>Questions!H126</f>
        <v>Will the project be exposed to foreign exchange risk?</v>
      </c>
      <c r="E51" s="2082"/>
      <c r="F51" s="2082"/>
      <c r="G51" s="2082"/>
      <c r="H51" s="2018" t="s">
        <v>34</v>
      </c>
      <c r="I51" s="1805"/>
      <c r="J51" s="1726"/>
      <c r="K51" s="1688"/>
      <c r="N51" s="1672"/>
      <c r="O51" s="2086" t="s">
        <v>859</v>
      </c>
      <c r="P51" s="2087"/>
      <c r="Q51" s="2087"/>
      <c r="R51" s="2087"/>
      <c r="S51" s="2087"/>
      <c r="T51" s="2087"/>
      <c r="U51" s="2087"/>
      <c r="V51" s="2087"/>
      <c r="W51" s="2087"/>
      <c r="X51" s="2087"/>
      <c r="Y51" s="2087"/>
      <c r="Z51" s="2087"/>
      <c r="AA51" s="2087"/>
      <c r="AB51" s="2087"/>
      <c r="AC51" s="2087"/>
      <c r="AD51" s="2087"/>
      <c r="AE51" s="2087"/>
      <c r="AF51" s="2088"/>
      <c r="AG51" s="1672"/>
      <c r="AI51" s="1672"/>
      <c r="AL51" s="1730"/>
      <c r="AM51" s="1730"/>
      <c r="AN51" s="1730"/>
      <c r="AO51" s="1730"/>
      <c r="AP51" s="1730"/>
      <c r="AQ51" s="1730"/>
      <c r="AR51" s="1730"/>
    </row>
    <row r="52" spans="1:47" ht="16.05" customHeight="1" thickBot="1" x14ac:dyDescent="0.35">
      <c r="A52" s="1731"/>
      <c r="B52" s="1714"/>
      <c r="C52" s="1801">
        <f>C51+1</f>
        <v>2</v>
      </c>
      <c r="D52" s="2146" t="str">
        <f>Questions!H127</f>
        <v>What has been the five-year average national currency depreciation vis-à-vis a benchmark currency?</v>
      </c>
      <c r="E52" s="2146"/>
      <c r="F52" s="2146"/>
      <c r="G52" s="2146"/>
      <c r="H52" s="2027">
        <v>0</v>
      </c>
      <c r="I52" s="1814" t="str">
        <f>I48</f>
        <v>Percent</v>
      </c>
      <c r="J52" s="1726"/>
      <c r="K52" s="1688"/>
      <c r="N52" s="1672"/>
      <c r="O52" s="2089"/>
      <c r="P52" s="2090"/>
      <c r="Q52" s="2090"/>
      <c r="R52" s="2090"/>
      <c r="S52" s="2090"/>
      <c r="T52" s="2090"/>
      <c r="U52" s="2090"/>
      <c r="V52" s="2090"/>
      <c r="W52" s="2090"/>
      <c r="X52" s="2090"/>
      <c r="Y52" s="2090"/>
      <c r="Z52" s="2090"/>
      <c r="AA52" s="2090"/>
      <c r="AB52" s="2090"/>
      <c r="AC52" s="2090"/>
      <c r="AD52" s="2090"/>
      <c r="AE52" s="2090"/>
      <c r="AF52" s="2091"/>
      <c r="AG52" s="1672"/>
      <c r="AI52" s="1672"/>
    </row>
    <row r="53" spans="1:47" ht="15" thickBot="1" x14ac:dyDescent="0.35">
      <c r="A53" s="1731"/>
      <c r="B53" s="1714"/>
      <c r="C53" s="2126" t="s">
        <v>591</v>
      </c>
      <c r="D53" s="2127"/>
      <c r="E53" s="2127"/>
      <c r="F53" s="2127"/>
      <c r="G53" s="2127"/>
      <c r="H53" s="2128"/>
      <c r="I53" s="1805"/>
      <c r="J53" s="1726"/>
      <c r="K53" s="1688"/>
      <c r="N53" s="1672"/>
      <c r="O53" s="1800" t="s">
        <v>860</v>
      </c>
      <c r="P53" s="1732"/>
      <c r="Q53" s="1732"/>
      <c r="R53" s="1732"/>
      <c r="S53" s="1732"/>
      <c r="T53" s="1732"/>
      <c r="U53" s="1732"/>
      <c r="V53" s="1732"/>
      <c r="W53" s="1732"/>
      <c r="X53" s="1732"/>
      <c r="Y53" s="1732"/>
      <c r="Z53" s="1732"/>
      <c r="AA53" s="1732"/>
      <c r="AB53" s="1732"/>
      <c r="AC53" s="1711"/>
      <c r="AD53" s="1711"/>
      <c r="AE53" s="1711"/>
      <c r="AF53" s="1722"/>
      <c r="AG53" s="1672"/>
      <c r="AI53" s="1672"/>
    </row>
    <row r="54" spans="1:47" ht="34.049999999999997" customHeight="1" thickBot="1" x14ac:dyDescent="0.35">
      <c r="A54" s="1731"/>
      <c r="B54" s="1714"/>
      <c r="C54" s="1801">
        <v>1</v>
      </c>
      <c r="D54" s="2082" t="s">
        <v>879</v>
      </c>
      <c r="E54" s="2082"/>
      <c r="F54" s="2082"/>
      <c r="G54" s="2082"/>
      <c r="H54" s="2028" t="s">
        <v>581</v>
      </c>
      <c r="I54" s="1805"/>
      <c r="J54" s="1726"/>
      <c r="K54" s="1688"/>
      <c r="N54" s="1672"/>
      <c r="O54" s="2081" t="s">
        <v>861</v>
      </c>
      <c r="P54" s="2081"/>
      <c r="Q54" s="2081"/>
      <c r="R54" s="2081"/>
      <c r="S54" s="2081"/>
      <c r="T54" s="2081"/>
      <c r="U54" s="2081"/>
      <c r="V54" s="2081"/>
      <c r="W54" s="2081"/>
      <c r="X54" s="2081"/>
      <c r="Y54" s="2081"/>
      <c r="Z54" s="2081"/>
      <c r="AA54" s="2081"/>
      <c r="AB54" s="2081"/>
      <c r="AC54" s="2081"/>
      <c r="AD54" s="2081"/>
      <c r="AE54" s="2081"/>
      <c r="AF54" s="2081"/>
      <c r="AG54" s="1672"/>
      <c r="AI54" s="1672"/>
    </row>
    <row r="55" spans="1:47" ht="30" customHeight="1" thickBot="1" x14ac:dyDescent="0.35">
      <c r="A55" s="1731"/>
      <c r="B55" s="1714"/>
      <c r="C55" s="1801">
        <f>C54+1</f>
        <v>2</v>
      </c>
      <c r="D55" s="2083" t="s">
        <v>574</v>
      </c>
      <c r="E55" s="2083"/>
      <c r="F55" s="2083"/>
      <c r="G55" s="2083"/>
      <c r="H55" s="2028" t="s">
        <v>832</v>
      </c>
      <c r="I55" s="1805"/>
      <c r="J55" s="1726"/>
      <c r="K55" s="1688"/>
      <c r="N55" s="1672"/>
      <c r="O55" s="2081"/>
      <c r="P55" s="2081"/>
      <c r="Q55" s="2081"/>
      <c r="R55" s="2081"/>
      <c r="S55" s="2081"/>
      <c r="T55" s="2081"/>
      <c r="U55" s="2081"/>
      <c r="V55" s="2081"/>
      <c r="W55" s="2081"/>
      <c r="X55" s="2081"/>
      <c r="Y55" s="2081"/>
      <c r="Z55" s="2081"/>
      <c r="AA55" s="2081"/>
      <c r="AB55" s="2081"/>
      <c r="AC55" s="2081"/>
      <c r="AD55" s="2081"/>
      <c r="AE55" s="2081"/>
      <c r="AF55" s="2081"/>
      <c r="AG55" s="1672"/>
      <c r="AI55" s="1672"/>
    </row>
    <row r="56" spans="1:47" ht="12.6" customHeight="1" thickBot="1" x14ac:dyDescent="0.35">
      <c r="A56" s="1731"/>
      <c r="B56" s="1714"/>
      <c r="C56" s="1805"/>
      <c r="D56" s="1805"/>
      <c r="E56" s="1802"/>
      <c r="F56" s="1805"/>
      <c r="G56" s="1805"/>
      <c r="H56" s="1805"/>
      <c r="I56" s="1805"/>
      <c r="J56" s="1726"/>
      <c r="K56" s="1688"/>
      <c r="N56" s="1672"/>
      <c r="O56" s="2081"/>
      <c r="P56" s="2081"/>
      <c r="Q56" s="2081"/>
      <c r="R56" s="2081"/>
      <c r="S56" s="2081"/>
      <c r="T56" s="2081"/>
      <c r="U56" s="2081"/>
      <c r="V56" s="2081"/>
      <c r="W56" s="2081"/>
      <c r="X56" s="2081"/>
      <c r="Y56" s="2081"/>
      <c r="Z56" s="2081"/>
      <c r="AA56" s="2081"/>
      <c r="AB56" s="2081"/>
      <c r="AC56" s="2081"/>
      <c r="AD56" s="2081"/>
      <c r="AE56" s="2081"/>
      <c r="AF56" s="2081"/>
      <c r="AG56" s="1672"/>
      <c r="AI56" s="1672"/>
    </row>
    <row r="57" spans="1:47" ht="12.6" customHeight="1" thickBot="1" x14ac:dyDescent="0.35">
      <c r="A57" s="1731"/>
      <c r="B57" s="1714"/>
      <c r="C57" s="1719"/>
      <c r="D57" s="1719"/>
      <c r="E57" s="1719"/>
      <c r="F57" s="1719"/>
      <c r="G57" s="1719"/>
      <c r="H57" s="1719"/>
      <c r="I57" s="1719"/>
      <c r="J57" s="1726"/>
      <c r="K57" s="1688"/>
      <c r="N57" s="1672"/>
      <c r="O57" s="2081"/>
      <c r="P57" s="2081"/>
      <c r="Q57" s="2081"/>
      <c r="R57" s="2081"/>
      <c r="S57" s="2081"/>
      <c r="T57" s="2081"/>
      <c r="U57" s="2081"/>
      <c r="V57" s="2081"/>
      <c r="W57" s="2081"/>
      <c r="X57" s="2081"/>
      <c r="Y57" s="2081"/>
      <c r="Z57" s="2081"/>
      <c r="AA57" s="2081"/>
      <c r="AB57" s="2081"/>
      <c r="AC57" s="2081"/>
      <c r="AD57" s="2081"/>
      <c r="AE57" s="2081"/>
      <c r="AF57" s="2081"/>
      <c r="AG57" s="1672"/>
      <c r="AI57" s="1672"/>
    </row>
    <row r="58" spans="1:47" ht="12.6" customHeight="1" thickBot="1" x14ac:dyDescent="0.35">
      <c r="A58" s="1731"/>
      <c r="B58" s="1714"/>
      <c r="C58" s="1719"/>
      <c r="D58" s="1719"/>
      <c r="E58" s="1715"/>
      <c r="F58" s="1719"/>
      <c r="G58" s="1719"/>
      <c r="H58" s="1719"/>
      <c r="I58" s="1719"/>
      <c r="J58" s="1726"/>
      <c r="K58" s="1688"/>
      <c r="N58" s="1672"/>
      <c r="O58" s="2081"/>
      <c r="P58" s="2081"/>
      <c r="Q58" s="2081"/>
      <c r="R58" s="2081"/>
      <c r="S58" s="2081"/>
      <c r="T58" s="2081"/>
      <c r="U58" s="2081"/>
      <c r="V58" s="2081"/>
      <c r="W58" s="2081"/>
      <c r="X58" s="2081"/>
      <c r="Y58" s="2081"/>
      <c r="Z58" s="2081"/>
      <c r="AA58" s="2081"/>
      <c r="AB58" s="2081"/>
      <c r="AC58" s="2081"/>
      <c r="AD58" s="2081"/>
      <c r="AE58" s="2081"/>
      <c r="AF58" s="2081"/>
      <c r="AG58" s="1672"/>
      <c r="AI58" s="1672"/>
    </row>
    <row r="59" spans="1:47" ht="12.6" customHeight="1" thickBot="1" x14ac:dyDescent="0.35">
      <c r="A59" s="1731"/>
      <c r="B59" s="1714"/>
      <c r="C59" s="1719"/>
      <c r="D59" s="1719"/>
      <c r="E59" s="1715"/>
      <c r="F59" s="1719"/>
      <c r="G59" s="1719"/>
      <c r="H59" s="1719"/>
      <c r="I59" s="1719"/>
      <c r="J59" s="1726"/>
      <c r="K59" s="1688"/>
      <c r="N59" s="1672"/>
      <c r="O59" s="2081"/>
      <c r="P59" s="2081"/>
      <c r="Q59" s="2081"/>
      <c r="R59" s="2081"/>
      <c r="S59" s="2081"/>
      <c r="T59" s="2081"/>
      <c r="U59" s="2081"/>
      <c r="V59" s="2081"/>
      <c r="W59" s="2081"/>
      <c r="X59" s="2081"/>
      <c r="Y59" s="2081"/>
      <c r="Z59" s="2081"/>
      <c r="AA59" s="2081"/>
      <c r="AB59" s="2081"/>
      <c r="AC59" s="2081"/>
      <c r="AD59" s="2081"/>
      <c r="AE59" s="2081"/>
      <c r="AF59" s="2081"/>
      <c r="AG59" s="1672"/>
      <c r="AI59" s="1672"/>
    </row>
    <row r="60" spans="1:47" ht="12.6" customHeight="1" thickBot="1" x14ac:dyDescent="0.35">
      <c r="A60" s="1731"/>
      <c r="B60" s="1714"/>
      <c r="C60" s="1719"/>
      <c r="D60" s="1719"/>
      <c r="E60" s="1719"/>
      <c r="F60" s="1719"/>
      <c r="G60" s="1719"/>
      <c r="H60" s="1719"/>
      <c r="I60" s="1719"/>
      <c r="J60" s="1726"/>
      <c r="K60" s="1688"/>
      <c r="N60" s="1672"/>
      <c r="O60" s="2081"/>
      <c r="P60" s="2081"/>
      <c r="Q60" s="2081"/>
      <c r="R60" s="2081"/>
      <c r="S60" s="2081"/>
      <c r="T60" s="2081"/>
      <c r="U60" s="2081"/>
      <c r="V60" s="2081"/>
      <c r="W60" s="2081"/>
      <c r="X60" s="2081"/>
      <c r="Y60" s="2081"/>
      <c r="Z60" s="2081"/>
      <c r="AA60" s="2081"/>
      <c r="AB60" s="2081"/>
      <c r="AC60" s="2081"/>
      <c r="AD60" s="2081"/>
      <c r="AE60" s="2081"/>
      <c r="AF60" s="2081"/>
      <c r="AG60" s="1672"/>
      <c r="AI60" s="1672"/>
    </row>
    <row r="61" spans="1:47" ht="12.6" customHeight="1" thickBot="1" x14ac:dyDescent="0.35">
      <c r="A61" s="1731"/>
      <c r="B61" s="1714"/>
      <c r="C61" s="1719"/>
      <c r="D61" s="1719"/>
      <c r="E61" s="1719"/>
      <c r="F61" s="1719"/>
      <c r="G61" s="1719"/>
      <c r="H61" s="1719"/>
      <c r="I61" s="1719"/>
      <c r="J61" s="1726"/>
      <c r="K61" s="1688"/>
      <c r="N61" s="1672"/>
      <c r="O61" s="2081"/>
      <c r="P61" s="2081"/>
      <c r="Q61" s="2081"/>
      <c r="R61" s="2081"/>
      <c r="S61" s="2081"/>
      <c r="T61" s="2081"/>
      <c r="U61" s="2081"/>
      <c r="V61" s="2081"/>
      <c r="W61" s="2081"/>
      <c r="X61" s="2081"/>
      <c r="Y61" s="2081"/>
      <c r="Z61" s="2081"/>
      <c r="AA61" s="2081"/>
      <c r="AB61" s="2081"/>
      <c r="AC61" s="2081"/>
      <c r="AD61" s="2081"/>
      <c r="AE61" s="2081"/>
      <c r="AF61" s="2081"/>
      <c r="AG61" s="1672"/>
      <c r="AI61" s="1672"/>
    </row>
    <row r="62" spans="1:47" ht="15" thickBot="1" x14ac:dyDescent="0.35">
      <c r="A62" s="1731"/>
      <c r="B62" s="1733"/>
      <c r="C62" s="1734"/>
      <c r="D62" s="1734"/>
      <c r="E62" s="1734"/>
      <c r="F62" s="1734"/>
      <c r="G62" s="1734"/>
      <c r="H62" s="1734"/>
      <c r="I62" s="1734"/>
      <c r="J62" s="1735"/>
      <c r="K62" s="1695"/>
      <c r="N62" s="1672"/>
      <c r="O62" s="2081"/>
      <c r="P62" s="2081"/>
      <c r="Q62" s="2081"/>
      <c r="R62" s="2081"/>
      <c r="S62" s="2081"/>
      <c r="T62" s="2081"/>
      <c r="U62" s="2081"/>
      <c r="V62" s="2081"/>
      <c r="W62" s="2081"/>
      <c r="X62" s="2081"/>
      <c r="Y62" s="2081"/>
      <c r="Z62" s="2081"/>
      <c r="AA62" s="2081"/>
      <c r="AB62" s="2081"/>
      <c r="AC62" s="2081"/>
      <c r="AD62" s="2081"/>
      <c r="AE62" s="2081"/>
      <c r="AF62" s="2081"/>
      <c r="AG62" s="1672"/>
      <c r="AI62" s="1672"/>
    </row>
    <row r="63" spans="1:47" x14ac:dyDescent="0.3">
      <c r="A63" s="1713"/>
      <c r="B63" s="1733"/>
      <c r="C63" s="1734"/>
      <c r="D63" s="1734"/>
      <c r="E63" s="1734"/>
      <c r="F63" s="1734"/>
      <c r="G63" s="1734"/>
      <c r="H63" s="1734"/>
      <c r="I63" s="1734"/>
      <c r="J63" s="1735"/>
      <c r="K63" s="1688"/>
      <c r="N63" s="1672"/>
      <c r="O63" s="2081"/>
      <c r="P63" s="2081"/>
      <c r="Q63" s="2081"/>
      <c r="R63" s="2081"/>
      <c r="S63" s="2081"/>
      <c r="T63" s="2081"/>
      <c r="U63" s="2081"/>
      <c r="V63" s="2081"/>
      <c r="W63" s="2081"/>
      <c r="X63" s="2081"/>
      <c r="Y63" s="2081"/>
      <c r="Z63" s="2081"/>
      <c r="AA63" s="2081"/>
      <c r="AB63" s="2081"/>
      <c r="AC63" s="2081"/>
      <c r="AD63" s="2081"/>
      <c r="AE63" s="2081"/>
      <c r="AF63" s="2081"/>
      <c r="AG63" s="1672"/>
      <c r="AI63" s="1672"/>
    </row>
    <row r="64" spans="1:47" x14ac:dyDescent="0.3">
      <c r="A64" s="1713"/>
      <c r="B64" s="1733"/>
      <c r="C64" s="1734"/>
      <c r="D64" s="1734"/>
      <c r="E64" s="1734"/>
      <c r="F64" s="1734"/>
      <c r="G64" s="1734"/>
      <c r="H64" s="1734"/>
      <c r="I64" s="1734"/>
      <c r="J64" s="1735"/>
      <c r="K64" s="1688"/>
      <c r="N64" s="1672"/>
      <c r="O64" s="2081"/>
      <c r="P64" s="2081"/>
      <c r="Q64" s="2081"/>
      <c r="R64" s="2081"/>
      <c r="S64" s="2081"/>
      <c r="T64" s="2081"/>
      <c r="U64" s="2081"/>
      <c r="V64" s="2081"/>
      <c r="W64" s="2081"/>
      <c r="X64" s="2081"/>
      <c r="Y64" s="2081"/>
      <c r="Z64" s="2081"/>
      <c r="AA64" s="2081"/>
      <c r="AB64" s="2081"/>
      <c r="AC64" s="2081"/>
      <c r="AD64" s="2081"/>
      <c r="AE64" s="2081"/>
      <c r="AF64" s="2081"/>
      <c r="AG64" s="1672"/>
      <c r="AI64" s="1672"/>
    </row>
    <row r="65" spans="1:36" ht="16.05" customHeight="1" thickBot="1" x14ac:dyDescent="0.35">
      <c r="A65" s="1713"/>
      <c r="B65" s="1736"/>
      <c r="C65" s="1737"/>
      <c r="D65" s="1737"/>
      <c r="E65" s="1737"/>
      <c r="F65" s="1737"/>
      <c r="G65" s="1737"/>
      <c r="H65" s="1737"/>
      <c r="I65" s="1737"/>
      <c r="J65" s="1738"/>
      <c r="K65" s="1688"/>
      <c r="N65" s="1672"/>
      <c r="O65" s="2081"/>
      <c r="P65" s="2081"/>
      <c r="Q65" s="2081"/>
      <c r="R65" s="2081"/>
      <c r="S65" s="2081"/>
      <c r="T65" s="2081"/>
      <c r="U65" s="2081"/>
      <c r="V65" s="2081"/>
      <c r="W65" s="2081"/>
      <c r="X65" s="2081"/>
      <c r="Y65" s="2081"/>
      <c r="Z65" s="2081"/>
      <c r="AA65" s="2081"/>
      <c r="AB65" s="2081"/>
      <c r="AC65" s="2081"/>
      <c r="AD65" s="2081"/>
      <c r="AE65" s="2081"/>
      <c r="AF65" s="2081"/>
      <c r="AG65" s="1672"/>
      <c r="AI65" s="1672"/>
    </row>
    <row r="66" spans="1:36" ht="15" customHeight="1" thickBot="1" x14ac:dyDescent="0.35">
      <c r="A66" s="1731"/>
      <c r="B66" s="1693"/>
      <c r="C66" s="1693"/>
      <c r="D66" s="1693"/>
      <c r="E66" s="1693"/>
      <c r="F66" s="1693"/>
      <c r="G66" s="1693"/>
      <c r="H66" s="1693"/>
      <c r="I66" s="1693"/>
      <c r="J66" s="1693"/>
      <c r="K66" s="1695"/>
      <c r="N66" s="1672"/>
      <c r="O66" s="2081"/>
      <c r="P66" s="2081"/>
      <c r="Q66" s="2081"/>
      <c r="R66" s="2081"/>
      <c r="S66" s="2081"/>
      <c r="T66" s="2081"/>
      <c r="U66" s="2081"/>
      <c r="V66" s="2081"/>
      <c r="W66" s="2081"/>
      <c r="X66" s="2081"/>
      <c r="Y66" s="2081"/>
      <c r="Z66" s="2081"/>
      <c r="AA66" s="2081"/>
      <c r="AB66" s="2081"/>
      <c r="AC66" s="2081"/>
      <c r="AD66" s="2081"/>
      <c r="AE66" s="2081"/>
      <c r="AF66" s="2081"/>
      <c r="AG66" s="1672"/>
      <c r="AI66" s="1672"/>
    </row>
    <row r="67" spans="1:36" x14ac:dyDescent="0.3">
      <c r="N67" s="1672"/>
      <c r="O67" s="2081"/>
      <c r="P67" s="2081"/>
      <c r="Q67" s="2081"/>
      <c r="R67" s="2081"/>
      <c r="S67" s="2081"/>
      <c r="T67" s="2081"/>
      <c r="U67" s="2081"/>
      <c r="V67" s="2081"/>
      <c r="W67" s="2081"/>
      <c r="X67" s="2081"/>
      <c r="Y67" s="2081"/>
      <c r="Z67" s="2081"/>
      <c r="AA67" s="2081"/>
      <c r="AB67" s="2081"/>
      <c r="AC67" s="2081"/>
      <c r="AD67" s="2081"/>
      <c r="AE67" s="2081"/>
      <c r="AF67" s="2081"/>
      <c r="AG67" s="1672"/>
      <c r="AI67" s="1672"/>
    </row>
    <row r="68" spans="1:36" x14ac:dyDescent="0.3">
      <c r="N68" s="1672"/>
      <c r="O68" s="2081"/>
      <c r="P68" s="2081"/>
      <c r="Q68" s="2081"/>
      <c r="R68" s="2081"/>
      <c r="S68" s="2081"/>
      <c r="T68" s="2081"/>
      <c r="U68" s="2081"/>
      <c r="V68" s="2081"/>
      <c r="W68" s="2081"/>
      <c r="X68" s="2081"/>
      <c r="Y68" s="2081"/>
      <c r="Z68" s="2081"/>
      <c r="AA68" s="2081"/>
      <c r="AB68" s="2081"/>
      <c r="AC68" s="2081"/>
      <c r="AD68" s="2081"/>
      <c r="AE68" s="2081"/>
      <c r="AF68" s="2081"/>
      <c r="AG68" s="1672"/>
      <c r="AI68" s="1672"/>
    </row>
    <row r="69" spans="1:36" x14ac:dyDescent="0.3">
      <c r="A69" s="1964"/>
      <c r="B69" s="1964"/>
      <c r="C69" s="1964"/>
      <c r="D69" s="1964"/>
      <c r="E69" s="1964"/>
      <c r="F69" s="1964"/>
      <c r="G69" s="1964"/>
      <c r="H69" s="1964"/>
      <c r="I69" s="1964"/>
      <c r="J69" s="1964"/>
      <c r="K69" s="1964"/>
      <c r="L69" s="1964"/>
      <c r="M69" s="1964"/>
      <c r="N69" s="1672"/>
      <c r="O69" s="2081"/>
      <c r="P69" s="2081"/>
      <c r="Q69" s="2081"/>
      <c r="R69" s="2081"/>
      <c r="S69" s="2081"/>
      <c r="T69" s="2081"/>
      <c r="U69" s="2081"/>
      <c r="V69" s="2081"/>
      <c r="W69" s="2081"/>
      <c r="X69" s="2081"/>
      <c r="Y69" s="2081"/>
      <c r="Z69" s="2081"/>
      <c r="AA69" s="2081"/>
      <c r="AB69" s="2081"/>
      <c r="AC69" s="2081"/>
      <c r="AD69" s="2081"/>
      <c r="AE69" s="2081"/>
      <c r="AF69" s="2081"/>
      <c r="AG69" s="1672"/>
      <c r="AI69" s="1672"/>
    </row>
    <row r="70" spans="1:36" hidden="1" x14ac:dyDescent="0.3">
      <c r="N70" s="1672"/>
      <c r="O70" s="1965"/>
      <c r="P70" s="1965"/>
      <c r="Q70" s="1965"/>
      <c r="R70" s="1965"/>
      <c r="S70" s="1965"/>
      <c r="T70" s="1965"/>
      <c r="U70" s="1965"/>
      <c r="V70" s="1965"/>
      <c r="W70" s="1965"/>
      <c r="X70" s="1965"/>
      <c r="Y70" s="1965"/>
      <c r="Z70" s="1965"/>
      <c r="AA70" s="1965"/>
      <c r="AB70" s="1965"/>
      <c r="AC70" s="1965"/>
      <c r="AD70" s="1965"/>
      <c r="AE70" s="1965"/>
      <c r="AF70" s="1965"/>
      <c r="AG70" s="1672"/>
      <c r="AI70" s="1672"/>
    </row>
    <row r="71" spans="1:36" x14ac:dyDescent="0.3">
      <c r="A71" s="1672"/>
      <c r="B71" s="1672"/>
      <c r="C71" s="1672"/>
      <c r="D71" s="1672"/>
      <c r="E71" s="1672"/>
      <c r="F71" s="1672"/>
      <c r="G71" s="1672"/>
      <c r="H71" s="1672"/>
      <c r="I71" s="1672"/>
      <c r="J71" s="1672"/>
      <c r="K71" s="1672"/>
      <c r="L71" s="1672"/>
      <c r="M71" s="1672"/>
      <c r="N71" s="1672"/>
      <c r="O71" s="1672"/>
      <c r="P71" s="1672"/>
      <c r="Q71" s="1672"/>
      <c r="R71" s="1672"/>
      <c r="S71" s="1672"/>
      <c r="T71" s="1672"/>
      <c r="U71" s="1672"/>
      <c r="V71" s="1672"/>
      <c r="W71" s="1672"/>
      <c r="X71" s="1672"/>
      <c r="Y71" s="1672"/>
      <c r="Z71" s="1672"/>
      <c r="AA71" s="1672"/>
      <c r="AB71" s="1672"/>
      <c r="AC71" s="1966"/>
      <c r="AD71" s="1966"/>
      <c r="AE71" s="1966"/>
      <c r="AF71" s="1966"/>
      <c r="AG71" s="1672"/>
      <c r="AH71" s="1672"/>
      <c r="AI71" s="1672"/>
    </row>
    <row r="72" spans="1:36" x14ac:dyDescent="0.3">
      <c r="O72" s="1965"/>
      <c r="P72" s="1965"/>
      <c r="Q72" s="1965"/>
      <c r="R72" s="1965"/>
      <c r="S72" s="1965"/>
      <c r="T72" s="1965"/>
      <c r="U72" s="1965"/>
      <c r="V72" s="1965"/>
      <c r="W72" s="1965"/>
      <c r="X72" s="1965"/>
      <c r="Y72" s="1965"/>
      <c r="Z72" s="1965"/>
      <c r="AA72" s="1965"/>
      <c r="AB72" s="1965"/>
      <c r="AC72" s="1965"/>
      <c r="AD72" s="1965"/>
      <c r="AE72" s="1965"/>
      <c r="AF72" s="1965"/>
    </row>
    <row r="73" spans="1:36" x14ac:dyDescent="0.3">
      <c r="O73" s="1965"/>
      <c r="P73" s="1965"/>
      <c r="Q73" s="1965"/>
      <c r="R73" s="1965"/>
      <c r="S73" s="1965"/>
      <c r="T73" s="1965"/>
      <c r="U73" s="1965"/>
      <c r="V73" s="1965"/>
      <c r="W73" s="1965"/>
      <c r="X73" s="1965"/>
      <c r="Y73" s="1965"/>
      <c r="Z73" s="1965"/>
      <c r="AA73" s="1965"/>
      <c r="AB73" s="1965"/>
      <c r="AC73" s="1965"/>
      <c r="AD73" s="1965"/>
      <c r="AE73" s="1965"/>
      <c r="AF73" s="1965"/>
    </row>
    <row r="74" spans="1:36" x14ac:dyDescent="0.3">
      <c r="O74" s="1965"/>
      <c r="P74" s="1965"/>
      <c r="Q74" s="1965"/>
      <c r="R74" s="1965"/>
      <c r="S74" s="1965"/>
      <c r="T74" s="1965"/>
      <c r="U74" s="1965"/>
      <c r="V74" s="1965"/>
      <c r="W74" s="1965"/>
      <c r="X74" s="1965"/>
      <c r="Y74" s="1965"/>
      <c r="Z74" s="1965"/>
      <c r="AA74" s="1965"/>
      <c r="AB74" s="1965"/>
      <c r="AC74" s="1965"/>
      <c r="AD74" s="1965"/>
      <c r="AE74" s="1965"/>
      <c r="AF74" s="1965"/>
      <c r="AG74" s="1721"/>
      <c r="AH74" s="1721"/>
      <c r="AI74" s="1721"/>
      <c r="AJ74" s="1721"/>
    </row>
    <row r="75" spans="1:36" ht="15" customHeight="1" x14ac:dyDescent="0.3">
      <c r="O75" s="1965"/>
      <c r="P75" s="1965"/>
      <c r="Q75" s="1965"/>
      <c r="R75" s="1965"/>
      <c r="S75" s="1965"/>
      <c r="T75" s="1965"/>
      <c r="U75" s="1965"/>
      <c r="V75" s="1965"/>
      <c r="W75" s="1965"/>
      <c r="X75" s="1965"/>
      <c r="Y75" s="1965"/>
      <c r="Z75" s="1965"/>
      <c r="AA75" s="1965"/>
      <c r="AB75" s="1965"/>
      <c r="AC75" s="1965"/>
      <c r="AD75" s="1965"/>
      <c r="AE75" s="1965"/>
      <c r="AF75" s="1965"/>
      <c r="AG75" s="1739"/>
      <c r="AH75" s="1739"/>
      <c r="AI75" s="1739"/>
      <c r="AJ75" s="1739"/>
    </row>
    <row r="76" spans="1:36" ht="15" customHeight="1" x14ac:dyDescent="0.3">
      <c r="O76" s="1721"/>
      <c r="P76" s="1721"/>
      <c r="Q76" s="1721"/>
      <c r="R76" s="1721"/>
      <c r="S76" s="1721"/>
      <c r="T76" s="1721"/>
      <c r="U76" s="1721"/>
      <c r="V76" s="1721"/>
      <c r="W76" s="1721"/>
      <c r="X76" s="1721"/>
      <c r="Y76" s="1721"/>
      <c r="Z76" s="1721"/>
      <c r="AA76" s="1739"/>
      <c r="AB76" s="1739"/>
      <c r="AC76" s="1739"/>
      <c r="AD76" s="1739"/>
      <c r="AE76" s="1739"/>
      <c r="AF76" s="1739"/>
      <c r="AG76" s="1739"/>
      <c r="AH76" s="1739"/>
      <c r="AI76" s="1739"/>
      <c r="AJ76" s="1739"/>
    </row>
    <row r="77" spans="1:36" x14ac:dyDescent="0.3">
      <c r="Z77" s="1721"/>
      <c r="AA77" s="1740"/>
      <c r="AB77" s="1730"/>
      <c r="AC77" s="1730"/>
      <c r="AD77" s="1730"/>
      <c r="AE77" s="1730"/>
      <c r="AF77" s="1730"/>
      <c r="AG77" s="1730"/>
      <c r="AH77" s="1730"/>
      <c r="AI77" s="1730"/>
    </row>
    <row r="78" spans="1:36" x14ac:dyDescent="0.3">
      <c r="Z78" s="1721"/>
      <c r="AA78" s="1741"/>
      <c r="AB78" s="1741"/>
      <c r="AC78" s="1741"/>
      <c r="AD78" s="1741"/>
      <c r="AE78" s="1741"/>
      <c r="AF78" s="1741"/>
      <c r="AG78" s="1741"/>
      <c r="AH78" s="1741"/>
      <c r="AI78" s="1741"/>
      <c r="AJ78" s="1741"/>
    </row>
    <row r="79" spans="1:36" ht="30" customHeight="1" x14ac:dyDescent="0.3">
      <c r="Z79" s="1721"/>
      <c r="AA79" s="1741"/>
      <c r="AB79" s="1741"/>
      <c r="AC79" s="1741"/>
      <c r="AD79" s="1741"/>
      <c r="AE79" s="1741"/>
      <c r="AF79" s="1741"/>
      <c r="AG79" s="1741"/>
      <c r="AH79" s="1741"/>
      <c r="AI79" s="1741"/>
      <c r="AJ79" s="1741"/>
    </row>
    <row r="80" spans="1:36" x14ac:dyDescent="0.3">
      <c r="Z80" s="1721"/>
      <c r="AA80" s="1742"/>
      <c r="AB80" s="1743"/>
      <c r="AC80" s="1743"/>
      <c r="AD80" s="1743"/>
      <c r="AE80" s="1743"/>
      <c r="AF80" s="1743"/>
      <c r="AG80" s="1743"/>
      <c r="AH80" s="1743"/>
      <c r="AI80" s="1743"/>
      <c r="AJ80" s="1743"/>
    </row>
    <row r="81" spans="26:36" x14ac:dyDescent="0.3">
      <c r="Z81" s="1721"/>
    </row>
    <row r="82" spans="26:36" x14ac:dyDescent="0.3">
      <c r="Z82" s="1721"/>
    </row>
    <row r="83" spans="26:36" x14ac:dyDescent="0.3">
      <c r="Z83" s="1721"/>
      <c r="AA83" s="1740"/>
      <c r="AB83" s="1730"/>
      <c r="AC83" s="1730"/>
      <c r="AD83" s="1730"/>
      <c r="AE83" s="1730"/>
      <c r="AF83" s="1730"/>
      <c r="AG83" s="1730"/>
      <c r="AH83" s="1730"/>
      <c r="AI83" s="1730"/>
      <c r="AJ83" s="1730"/>
    </row>
    <row r="84" spans="26:36" x14ac:dyDescent="0.3">
      <c r="Z84" s="1721"/>
    </row>
    <row r="85" spans="26:36" x14ac:dyDescent="0.3">
      <c r="Z85" s="1721"/>
    </row>
    <row r="86" spans="26:36" x14ac:dyDescent="0.3">
      <c r="Z86" s="1721"/>
      <c r="AA86" s="1742"/>
      <c r="AB86" s="1743"/>
      <c r="AC86" s="1743"/>
      <c r="AD86" s="1743"/>
      <c r="AE86" s="1743"/>
      <c r="AF86" s="1743"/>
      <c r="AG86" s="1743"/>
      <c r="AH86" s="1743"/>
      <c r="AI86" s="1743"/>
      <c r="AJ86" s="1743"/>
    </row>
    <row r="87" spans="26:36" x14ac:dyDescent="0.3">
      <c r="Z87" s="1721"/>
      <c r="AA87" s="2144"/>
      <c r="AB87" s="2144"/>
      <c r="AC87" s="2144"/>
      <c r="AD87" s="2144"/>
      <c r="AE87" s="2144"/>
      <c r="AF87" s="2144"/>
      <c r="AG87" s="2144"/>
      <c r="AH87" s="2144"/>
      <c r="AI87" s="2144"/>
      <c r="AJ87" s="2144"/>
    </row>
    <row r="88" spans="26:36" x14ac:dyDescent="0.3">
      <c r="Z88" s="1721"/>
      <c r="AA88" s="2144"/>
      <c r="AB88" s="2144"/>
      <c r="AC88" s="2144"/>
      <c r="AD88" s="2144"/>
      <c r="AE88" s="2144"/>
      <c r="AF88" s="2144"/>
      <c r="AG88" s="2144"/>
      <c r="AH88" s="2144"/>
      <c r="AI88" s="2144"/>
      <c r="AJ88" s="2144"/>
    </row>
    <row r="89" spans="26:36" x14ac:dyDescent="0.3">
      <c r="Z89" s="1721"/>
      <c r="AA89" s="1740"/>
      <c r="AB89" s="1730"/>
      <c r="AC89" s="1730"/>
      <c r="AD89" s="1730"/>
      <c r="AE89" s="1730"/>
      <c r="AF89" s="1730"/>
      <c r="AG89" s="1730"/>
      <c r="AH89" s="1730"/>
      <c r="AI89" s="1730"/>
      <c r="AJ89" s="1730"/>
    </row>
    <row r="90" spans="26:36" x14ac:dyDescent="0.3">
      <c r="Z90" s="1721"/>
    </row>
    <row r="91" spans="26:36" x14ac:dyDescent="0.3">
      <c r="Z91" s="1721"/>
    </row>
    <row r="92" spans="26:36" x14ac:dyDescent="0.3">
      <c r="Z92" s="1721"/>
      <c r="AA92" s="1721"/>
      <c r="AB92" s="1721"/>
      <c r="AC92" s="1721"/>
      <c r="AD92" s="1721"/>
      <c r="AE92" s="1721"/>
      <c r="AF92" s="1721"/>
      <c r="AG92" s="1721"/>
      <c r="AH92" s="1721"/>
      <c r="AI92" s="1721"/>
      <c r="AJ92" s="1721"/>
    </row>
    <row r="93" spans="26:36" x14ac:dyDescent="0.3">
      <c r="Z93" s="1721"/>
      <c r="AA93" s="1721"/>
      <c r="AB93" s="1721"/>
      <c r="AC93" s="1721"/>
      <c r="AD93" s="1721"/>
      <c r="AE93" s="1721"/>
      <c r="AF93" s="1721"/>
      <c r="AG93" s="1721"/>
      <c r="AH93" s="1721"/>
      <c r="AI93" s="1721"/>
      <c r="AJ93" s="1721"/>
    </row>
    <row r="94" spans="26:36" x14ac:dyDescent="0.3">
      <c r="Z94" s="1721"/>
      <c r="AA94" s="1721"/>
      <c r="AB94" s="1721"/>
      <c r="AC94" s="1721"/>
      <c r="AD94" s="1721"/>
      <c r="AE94" s="1721"/>
      <c r="AF94" s="1721"/>
      <c r="AG94" s="1721"/>
      <c r="AH94" s="1721"/>
      <c r="AI94" s="1721"/>
      <c r="AJ94" s="1721"/>
    </row>
    <row r="95" spans="26:36" x14ac:dyDescent="0.3">
      <c r="Z95" s="1721"/>
      <c r="AA95" s="1721"/>
      <c r="AB95" s="1721"/>
      <c r="AC95" s="1721"/>
      <c r="AD95" s="1721"/>
      <c r="AE95" s="1721"/>
      <c r="AF95" s="1721"/>
      <c r="AG95" s="1721"/>
      <c r="AH95" s="1721"/>
      <c r="AI95" s="1721"/>
      <c r="AJ95" s="1721"/>
    </row>
    <row r="96" spans="26:36" x14ac:dyDescent="0.3">
      <c r="Z96" s="1721"/>
      <c r="AA96" s="1721"/>
      <c r="AB96" s="1721"/>
      <c r="AC96" s="1721"/>
      <c r="AD96" s="1721"/>
      <c r="AE96" s="1721"/>
      <c r="AF96" s="1721"/>
      <c r="AG96" s="1721"/>
      <c r="AH96" s="1721"/>
      <c r="AI96" s="1721"/>
      <c r="AJ96" s="1721"/>
    </row>
    <row r="97" spans="26:36" x14ac:dyDescent="0.3">
      <c r="Z97" s="1721"/>
      <c r="AA97" s="1721"/>
      <c r="AB97" s="1721"/>
      <c r="AC97" s="1721"/>
      <c r="AD97" s="1721"/>
      <c r="AE97" s="1721"/>
      <c r="AF97" s="1721"/>
      <c r="AG97" s="1721"/>
      <c r="AH97" s="1721"/>
      <c r="AI97" s="1721"/>
      <c r="AJ97" s="1721"/>
    </row>
    <row r="98" spans="26:36" x14ac:dyDescent="0.3">
      <c r="Z98" s="1721"/>
      <c r="AA98" s="1721"/>
      <c r="AB98" s="1721"/>
      <c r="AC98" s="1721"/>
      <c r="AD98" s="1721"/>
      <c r="AE98" s="1721"/>
      <c r="AF98" s="1721"/>
      <c r="AG98" s="1721"/>
      <c r="AH98" s="1721"/>
      <c r="AI98" s="1721"/>
      <c r="AJ98" s="1721"/>
    </row>
    <row r="99" spans="26:36" x14ac:dyDescent="0.3">
      <c r="Z99" s="1721"/>
      <c r="AA99" s="1721"/>
      <c r="AB99" s="1721"/>
      <c r="AC99" s="1721"/>
      <c r="AD99" s="1721"/>
      <c r="AE99" s="1721"/>
      <c r="AF99" s="1721"/>
      <c r="AG99" s="1721"/>
      <c r="AH99" s="1721"/>
      <c r="AI99" s="1721"/>
      <c r="AJ99" s="1721"/>
    </row>
    <row r="100" spans="26:36" x14ac:dyDescent="0.3">
      <c r="Z100" s="1721"/>
      <c r="AA100" s="1721"/>
      <c r="AB100" s="1721"/>
      <c r="AC100" s="1721"/>
      <c r="AD100" s="1721"/>
      <c r="AE100" s="1721"/>
      <c r="AF100" s="1721"/>
      <c r="AG100" s="1721"/>
      <c r="AH100" s="1721"/>
      <c r="AI100" s="1721"/>
      <c r="AJ100" s="1721"/>
    </row>
    <row r="101" spans="26:36" x14ac:dyDescent="0.3">
      <c r="Z101" s="1721"/>
      <c r="AA101" s="1721"/>
      <c r="AB101" s="1721"/>
      <c r="AC101" s="1721"/>
      <c r="AD101" s="1721"/>
      <c r="AE101" s="1721"/>
      <c r="AF101" s="1721"/>
      <c r="AG101" s="1721"/>
      <c r="AH101" s="1721"/>
      <c r="AI101" s="1721"/>
      <c r="AJ101" s="1721"/>
    </row>
    <row r="102" spans="26:36" x14ac:dyDescent="0.3">
      <c r="Z102" s="1721"/>
      <c r="AA102" s="1721"/>
      <c r="AB102" s="1721"/>
      <c r="AC102" s="1721"/>
      <c r="AD102" s="1721"/>
      <c r="AE102" s="1721"/>
      <c r="AF102" s="1721"/>
      <c r="AG102" s="1721"/>
      <c r="AH102" s="1721"/>
      <c r="AI102" s="1721"/>
      <c r="AJ102" s="1721"/>
    </row>
    <row r="103" spans="26:36" x14ac:dyDescent="0.3">
      <c r="Z103" s="1721"/>
      <c r="AA103" s="1721"/>
      <c r="AB103" s="1721"/>
      <c r="AC103" s="1721"/>
      <c r="AD103" s="1721"/>
      <c r="AE103" s="1721"/>
      <c r="AF103" s="1721"/>
      <c r="AG103" s="1721"/>
      <c r="AH103" s="1721"/>
      <c r="AI103" s="1721"/>
      <c r="AJ103" s="1721"/>
    </row>
    <row r="104" spans="26:36" x14ac:dyDescent="0.3">
      <c r="Z104" s="1721"/>
      <c r="AA104" s="1721"/>
      <c r="AB104" s="1721"/>
      <c r="AC104" s="1721"/>
      <c r="AD104" s="1721"/>
      <c r="AE104" s="1721"/>
      <c r="AF104" s="1721"/>
      <c r="AG104" s="1721"/>
      <c r="AH104" s="1721"/>
      <c r="AI104" s="1721"/>
      <c r="AJ104" s="1721"/>
    </row>
    <row r="105" spans="26:36" x14ac:dyDescent="0.3">
      <c r="Z105" s="1721"/>
      <c r="AA105" s="1721"/>
      <c r="AB105" s="1721"/>
      <c r="AC105" s="1721"/>
      <c r="AD105" s="1721"/>
      <c r="AE105" s="1721"/>
      <c r="AF105" s="1721"/>
      <c r="AG105" s="1721"/>
      <c r="AH105" s="1721"/>
      <c r="AI105" s="1721"/>
      <c r="AJ105" s="1721"/>
    </row>
    <row r="106" spans="26:36" x14ac:dyDescent="0.3">
      <c r="Z106" s="1721"/>
      <c r="AA106" s="1721"/>
      <c r="AB106" s="1721"/>
      <c r="AC106" s="1721"/>
      <c r="AD106" s="1721"/>
      <c r="AE106" s="1721"/>
      <c r="AF106" s="1721"/>
      <c r="AG106" s="1721"/>
      <c r="AH106" s="1721"/>
      <c r="AI106" s="1721"/>
      <c r="AJ106" s="1721"/>
    </row>
    <row r="107" spans="26:36" x14ac:dyDescent="0.3">
      <c r="Z107" s="1721"/>
      <c r="AA107" s="1721"/>
      <c r="AB107" s="1721"/>
      <c r="AC107" s="1721"/>
      <c r="AD107" s="1721"/>
      <c r="AE107" s="1721"/>
      <c r="AF107" s="1721"/>
      <c r="AG107" s="1721"/>
      <c r="AH107" s="1721"/>
      <c r="AI107" s="1721"/>
      <c r="AJ107" s="1721"/>
    </row>
    <row r="108" spans="26:36" x14ac:dyDescent="0.3">
      <c r="Z108" s="1721"/>
      <c r="AA108" s="1721"/>
      <c r="AB108" s="1721"/>
      <c r="AC108" s="1721"/>
      <c r="AD108" s="1721"/>
      <c r="AE108" s="1721"/>
      <c r="AF108" s="1721"/>
      <c r="AG108" s="1721"/>
      <c r="AH108" s="1721"/>
      <c r="AI108" s="1721"/>
      <c r="AJ108" s="1721"/>
    </row>
    <row r="109" spans="26:36" x14ac:dyDescent="0.3">
      <c r="Z109" s="1721"/>
      <c r="AA109" s="1721"/>
      <c r="AB109" s="1721"/>
      <c r="AC109" s="1721"/>
      <c r="AD109" s="1721"/>
      <c r="AE109" s="1721"/>
      <c r="AF109" s="1721"/>
      <c r="AG109" s="1721"/>
      <c r="AH109" s="1721"/>
      <c r="AI109" s="1721"/>
      <c r="AJ109" s="1721"/>
    </row>
    <row r="110" spans="26:36" x14ac:dyDescent="0.3">
      <c r="Z110" s="1721"/>
      <c r="AA110" s="1721"/>
      <c r="AB110" s="1721"/>
      <c r="AC110" s="1721"/>
      <c r="AD110" s="1721"/>
      <c r="AE110" s="1721"/>
      <c r="AF110" s="1721"/>
      <c r="AG110" s="1721"/>
      <c r="AH110" s="1721"/>
      <c r="AI110" s="1721"/>
      <c r="AJ110" s="1721"/>
    </row>
    <row r="111" spans="26:36" x14ac:dyDescent="0.3">
      <c r="Z111" s="1721"/>
      <c r="AA111" s="1721"/>
      <c r="AB111" s="1721"/>
      <c r="AC111" s="1721"/>
      <c r="AD111" s="1721"/>
      <c r="AE111" s="1721"/>
      <c r="AF111" s="1721"/>
      <c r="AG111" s="1721"/>
      <c r="AH111" s="1721"/>
      <c r="AI111" s="1721"/>
      <c r="AJ111" s="1721"/>
    </row>
    <row r="112" spans="26:36" x14ac:dyDescent="0.3">
      <c r="Z112" s="1721"/>
      <c r="AA112" s="1721"/>
      <c r="AB112" s="1721"/>
      <c r="AC112" s="1721"/>
      <c r="AD112" s="1721"/>
      <c r="AE112" s="1721"/>
      <c r="AF112" s="1721"/>
      <c r="AG112" s="1721"/>
      <c r="AH112" s="1721"/>
      <c r="AI112" s="1721"/>
      <c r="AJ112" s="1721"/>
    </row>
    <row r="113" spans="26:36" x14ac:dyDescent="0.3">
      <c r="Z113" s="1721"/>
      <c r="AA113" s="1721"/>
      <c r="AB113" s="1721"/>
      <c r="AC113" s="1721"/>
      <c r="AD113" s="1721"/>
      <c r="AE113" s="1721"/>
      <c r="AF113" s="1721"/>
      <c r="AG113" s="1721"/>
      <c r="AH113" s="1721"/>
      <c r="AI113" s="1721"/>
      <c r="AJ113" s="1721"/>
    </row>
    <row r="114" spans="26:36" x14ac:dyDescent="0.3">
      <c r="Z114" s="1721"/>
      <c r="AA114" s="1721"/>
      <c r="AB114" s="1721"/>
      <c r="AC114" s="1721"/>
      <c r="AD114" s="1721"/>
      <c r="AE114" s="1721"/>
      <c r="AF114" s="1721"/>
      <c r="AG114" s="1721"/>
      <c r="AH114" s="1721"/>
      <c r="AI114" s="1721"/>
      <c r="AJ114" s="1721"/>
    </row>
    <row r="115" spans="26:36" x14ac:dyDescent="0.3">
      <c r="Z115" s="1721"/>
      <c r="AA115" s="1721"/>
      <c r="AB115" s="1721"/>
      <c r="AC115" s="1721"/>
      <c r="AD115" s="1721"/>
      <c r="AE115" s="1721"/>
      <c r="AF115" s="1721"/>
      <c r="AG115" s="1721"/>
      <c r="AH115" s="1721"/>
      <c r="AI115" s="1721"/>
      <c r="AJ115" s="1721"/>
    </row>
    <row r="116" spans="26:36" x14ac:dyDescent="0.3">
      <c r="Z116" s="1721"/>
      <c r="AA116" s="1721"/>
      <c r="AB116" s="1721"/>
      <c r="AC116" s="1721"/>
      <c r="AD116" s="1721"/>
      <c r="AE116" s="1721"/>
      <c r="AF116" s="1721"/>
      <c r="AG116" s="1721"/>
      <c r="AH116" s="1721"/>
      <c r="AI116" s="1721"/>
      <c r="AJ116" s="1721"/>
    </row>
    <row r="117" spans="26:36" x14ac:dyDescent="0.3">
      <c r="Z117" s="1721"/>
      <c r="AA117" s="1721"/>
      <c r="AB117" s="1721"/>
      <c r="AC117" s="1721"/>
      <c r="AD117" s="1721"/>
      <c r="AE117" s="1721"/>
      <c r="AF117" s="1721"/>
      <c r="AG117" s="1721"/>
      <c r="AH117" s="1721"/>
      <c r="AI117" s="1721"/>
      <c r="AJ117" s="1721"/>
    </row>
    <row r="118" spans="26:36" x14ac:dyDescent="0.3">
      <c r="Z118" s="1721"/>
      <c r="AA118" s="1721"/>
      <c r="AB118" s="1721"/>
      <c r="AC118" s="1721"/>
      <c r="AD118" s="1721"/>
      <c r="AE118" s="1721"/>
      <c r="AF118" s="1721"/>
      <c r="AG118" s="1721"/>
      <c r="AH118" s="1721"/>
      <c r="AI118" s="1721"/>
      <c r="AJ118" s="1721"/>
    </row>
    <row r="119" spans="26:36" x14ac:dyDescent="0.3">
      <c r="Z119" s="1721"/>
      <c r="AA119" s="1721"/>
      <c r="AB119" s="1721"/>
      <c r="AC119" s="1721"/>
      <c r="AD119" s="1721"/>
      <c r="AE119" s="1721"/>
      <c r="AF119" s="1721"/>
      <c r="AG119" s="1721"/>
      <c r="AH119" s="1721"/>
      <c r="AI119" s="1721"/>
      <c r="AJ119" s="1721"/>
    </row>
    <row r="120" spans="26:36" x14ac:dyDescent="0.3">
      <c r="Z120" s="1721"/>
      <c r="AA120" s="1721"/>
      <c r="AB120" s="1721"/>
      <c r="AC120" s="1721"/>
      <c r="AD120" s="1721"/>
      <c r="AE120" s="1721"/>
      <c r="AF120" s="1721"/>
      <c r="AG120" s="1721"/>
      <c r="AH120" s="1721"/>
      <c r="AI120" s="1721"/>
      <c r="AJ120" s="1721"/>
    </row>
    <row r="121" spans="26:36" x14ac:dyDescent="0.3">
      <c r="Z121" s="1721"/>
      <c r="AA121" s="1721"/>
      <c r="AB121" s="1721"/>
      <c r="AC121" s="1721"/>
      <c r="AD121" s="1721"/>
      <c r="AE121" s="1721"/>
      <c r="AF121" s="1721"/>
      <c r="AG121" s="1721"/>
      <c r="AH121" s="1721"/>
      <c r="AI121" s="1721"/>
      <c r="AJ121" s="1721"/>
    </row>
    <row r="122" spans="26:36" x14ac:dyDescent="0.3">
      <c r="Z122" s="1721"/>
      <c r="AA122" s="1721"/>
      <c r="AB122" s="1721"/>
      <c r="AC122" s="1721"/>
      <c r="AD122" s="1721"/>
      <c r="AE122" s="1721"/>
      <c r="AF122" s="1721"/>
      <c r="AG122" s="1721"/>
      <c r="AH122" s="1721"/>
      <c r="AI122" s="1721"/>
      <c r="AJ122" s="1721"/>
    </row>
    <row r="123" spans="26:36" x14ac:dyDescent="0.3">
      <c r="Z123" s="1721"/>
      <c r="AA123" s="1721"/>
      <c r="AB123" s="1721"/>
      <c r="AC123" s="1721"/>
      <c r="AD123" s="1721"/>
      <c r="AE123" s="1721"/>
      <c r="AF123" s="1721"/>
      <c r="AG123" s="1721"/>
      <c r="AH123" s="1721"/>
      <c r="AI123" s="1721"/>
      <c r="AJ123" s="1721"/>
    </row>
    <row r="124" spans="26:36" x14ac:dyDescent="0.3">
      <c r="Z124" s="1721"/>
      <c r="AA124" s="1721"/>
      <c r="AB124" s="1721"/>
      <c r="AC124" s="1721"/>
      <c r="AD124" s="1721"/>
      <c r="AE124" s="1721"/>
      <c r="AF124" s="1721"/>
      <c r="AG124" s="1721"/>
      <c r="AH124" s="1721"/>
      <c r="AI124" s="1721"/>
      <c r="AJ124" s="1721"/>
    </row>
    <row r="125" spans="26:36" x14ac:dyDescent="0.3">
      <c r="Z125" s="1721"/>
      <c r="AA125" s="1721"/>
      <c r="AB125" s="1721"/>
      <c r="AC125" s="1721"/>
      <c r="AD125" s="1721"/>
      <c r="AE125" s="1721"/>
      <c r="AF125" s="1721"/>
      <c r="AG125" s="1721"/>
      <c r="AH125" s="1721"/>
      <c r="AI125" s="1721"/>
      <c r="AJ125" s="1721"/>
    </row>
    <row r="126" spans="26:36" x14ac:dyDescent="0.3">
      <c r="Z126" s="1721"/>
      <c r="AA126" s="1721"/>
      <c r="AB126" s="1721"/>
      <c r="AC126" s="1721"/>
      <c r="AD126" s="1721"/>
      <c r="AE126" s="1721"/>
      <c r="AF126" s="1721"/>
      <c r="AG126" s="1721"/>
      <c r="AH126" s="1721"/>
      <c r="AI126" s="1721"/>
      <c r="AJ126" s="1721"/>
    </row>
    <row r="127" spans="26:36" x14ac:dyDescent="0.3">
      <c r="Z127" s="1721"/>
      <c r="AA127" s="1721"/>
      <c r="AB127" s="1721"/>
      <c r="AC127" s="1721"/>
      <c r="AD127" s="1721"/>
      <c r="AE127" s="1721"/>
      <c r="AF127" s="1721"/>
      <c r="AG127" s="1721"/>
      <c r="AH127" s="1721"/>
      <c r="AI127" s="1721"/>
      <c r="AJ127" s="1721"/>
    </row>
    <row r="128" spans="26:36" x14ac:dyDescent="0.3">
      <c r="Z128" s="1721"/>
      <c r="AA128" s="1721"/>
      <c r="AB128" s="1721"/>
      <c r="AC128" s="1721"/>
      <c r="AD128" s="1721"/>
      <c r="AE128" s="1721"/>
      <c r="AF128" s="1721"/>
      <c r="AG128" s="1721"/>
      <c r="AH128" s="1721"/>
      <c r="AI128" s="1721"/>
      <c r="AJ128" s="1721"/>
    </row>
    <row r="129" spans="26:36" x14ac:dyDescent="0.3">
      <c r="Z129" s="1721"/>
      <c r="AA129" s="1721"/>
      <c r="AB129" s="1721"/>
      <c r="AC129" s="1721"/>
      <c r="AD129" s="1721"/>
      <c r="AE129" s="1721"/>
      <c r="AF129" s="1721"/>
      <c r="AG129" s="1721"/>
      <c r="AH129" s="1721"/>
      <c r="AI129" s="1721"/>
      <c r="AJ129" s="1721"/>
    </row>
    <row r="130" spans="26:36" x14ac:dyDescent="0.3">
      <c r="Z130" s="1721"/>
      <c r="AA130" s="1721"/>
      <c r="AB130" s="1721"/>
      <c r="AC130" s="1721"/>
      <c r="AD130" s="1721"/>
      <c r="AE130" s="1721"/>
      <c r="AF130" s="1721"/>
      <c r="AG130" s="1721"/>
      <c r="AH130" s="1721"/>
      <c r="AI130" s="1721"/>
      <c r="AJ130" s="1721"/>
    </row>
    <row r="131" spans="26:36" x14ac:dyDescent="0.3">
      <c r="Z131" s="1721"/>
      <c r="AA131" s="1721"/>
      <c r="AB131" s="1721"/>
      <c r="AC131" s="1721"/>
      <c r="AD131" s="1721"/>
      <c r="AE131" s="1721"/>
      <c r="AF131" s="1721"/>
      <c r="AG131" s="1721"/>
      <c r="AH131" s="1721"/>
      <c r="AI131" s="1721"/>
      <c r="AJ131" s="1721"/>
    </row>
    <row r="132" spans="26:36" x14ac:dyDescent="0.3">
      <c r="Z132" s="1721"/>
      <c r="AA132" s="1721"/>
      <c r="AB132" s="1721"/>
      <c r="AC132" s="1721"/>
      <c r="AD132" s="1721"/>
      <c r="AE132" s="1721"/>
      <c r="AF132" s="1721"/>
      <c r="AG132" s="1721"/>
      <c r="AH132" s="1721"/>
      <c r="AI132" s="1721"/>
      <c r="AJ132" s="1721"/>
    </row>
    <row r="133" spans="26:36" x14ac:dyDescent="0.3">
      <c r="Z133" s="1721"/>
      <c r="AA133" s="1721"/>
      <c r="AB133" s="1721"/>
      <c r="AC133" s="1721"/>
      <c r="AD133" s="1721"/>
      <c r="AE133" s="1721"/>
      <c r="AF133" s="1721"/>
      <c r="AG133" s="1721"/>
      <c r="AH133" s="1721"/>
      <c r="AI133" s="1721"/>
      <c r="AJ133" s="1721"/>
    </row>
    <row r="134" spans="26:36" x14ac:dyDescent="0.3">
      <c r="Z134" s="1721"/>
      <c r="AA134" s="1721"/>
      <c r="AB134" s="1721"/>
      <c r="AC134" s="1721"/>
      <c r="AD134" s="1721"/>
      <c r="AE134" s="1721"/>
      <c r="AF134" s="1721"/>
      <c r="AG134" s="1721"/>
      <c r="AH134" s="1721"/>
      <c r="AI134" s="1721"/>
      <c r="AJ134" s="1721"/>
    </row>
  </sheetData>
  <sheetProtection password="DA20" sheet="1" objects="1" scenarios="1"/>
  <protectedRanges>
    <protectedRange sqref="F22:F23 H22:H23 F11:G16 E16 F36:H36 F25:F28 H25:H28" name="Range2"/>
    <protectedRange sqref="G8 G6:G7" name="Range1"/>
    <protectedRange sqref="H13:H15" name="Range2_1"/>
    <protectedRange sqref="H6:H8" name="Range1_2"/>
    <protectedRange sqref="H11:H12" name="Range2_2"/>
  </protectedRanges>
  <mergeCells count="65">
    <mergeCell ref="AA87:AJ88"/>
    <mergeCell ref="C29:H29"/>
    <mergeCell ref="C21:H21"/>
    <mergeCell ref="D49:G49"/>
    <mergeCell ref="D28:G28"/>
    <mergeCell ref="D52:G52"/>
    <mergeCell ref="C53:H53"/>
    <mergeCell ref="C50:H50"/>
    <mergeCell ref="D22:G22"/>
    <mergeCell ref="D23:G23"/>
    <mergeCell ref="D25:G25"/>
    <mergeCell ref="D26:G26"/>
    <mergeCell ref="C24:H24"/>
    <mergeCell ref="D30:G30"/>
    <mergeCell ref="O22:AF23"/>
    <mergeCell ref="O25:AF27"/>
    <mergeCell ref="AL38:AU39"/>
    <mergeCell ref="AL48:AU49"/>
    <mergeCell ref="C40:H40"/>
    <mergeCell ref="D33:G33"/>
    <mergeCell ref="C37:H37"/>
    <mergeCell ref="D45:G45"/>
    <mergeCell ref="D35:G35"/>
    <mergeCell ref="D36:G36"/>
    <mergeCell ref="D38:G38"/>
    <mergeCell ref="D39:G39"/>
    <mergeCell ref="O30:AF36"/>
    <mergeCell ref="O38:AF39"/>
    <mergeCell ref="O41:AF48"/>
    <mergeCell ref="D41:G41"/>
    <mergeCell ref="E2:K4"/>
    <mergeCell ref="D15:G15"/>
    <mergeCell ref="O6:P8"/>
    <mergeCell ref="A2:D2"/>
    <mergeCell ref="A3:D4"/>
    <mergeCell ref="E6:G6"/>
    <mergeCell ref="E7:G8"/>
    <mergeCell ref="C10:H10"/>
    <mergeCell ref="D11:G11"/>
    <mergeCell ref="D12:G12"/>
    <mergeCell ref="D13:G13"/>
    <mergeCell ref="D14:G14"/>
    <mergeCell ref="O11:AF15"/>
    <mergeCell ref="O18:AF20"/>
    <mergeCell ref="D20:G20"/>
    <mergeCell ref="D16:G16"/>
    <mergeCell ref="D27:G27"/>
    <mergeCell ref="D18:G18"/>
    <mergeCell ref="D19:G19"/>
    <mergeCell ref="AH25:AT25"/>
    <mergeCell ref="AH26:AT26"/>
    <mergeCell ref="O54:AF69"/>
    <mergeCell ref="D54:G54"/>
    <mergeCell ref="D55:G55"/>
    <mergeCell ref="D32:G32"/>
    <mergeCell ref="D51:G51"/>
    <mergeCell ref="D47:G47"/>
    <mergeCell ref="D46:G46"/>
    <mergeCell ref="D34:G34"/>
    <mergeCell ref="D44:G44"/>
    <mergeCell ref="O51:AF52"/>
    <mergeCell ref="D31:G31"/>
    <mergeCell ref="D42:G42"/>
    <mergeCell ref="D43:G43"/>
    <mergeCell ref="D48:G48"/>
  </mergeCells>
  <conditionalFormatting sqref="H23">
    <cfRule type="expression" dxfId="611" priority="25">
      <formula>$D$23=""</formula>
    </cfRule>
  </conditionalFormatting>
  <conditionalFormatting sqref="H18">
    <cfRule type="expression" dxfId="610" priority="23">
      <formula>D18=0</formula>
    </cfRule>
  </conditionalFormatting>
  <conditionalFormatting sqref="H20">
    <cfRule type="expression" dxfId="609" priority="21">
      <formula>D20=0</formula>
    </cfRule>
  </conditionalFormatting>
  <conditionalFormatting sqref="H19">
    <cfRule type="expression" dxfId="608" priority="20">
      <formula>D19=0</formula>
    </cfRule>
  </conditionalFormatting>
  <conditionalFormatting sqref="C18:G20">
    <cfRule type="cellIs" dxfId="607" priority="19" operator="equal">
      <formula>0</formula>
    </cfRule>
  </conditionalFormatting>
  <conditionalFormatting sqref="D26:G26">
    <cfRule type="cellIs" dxfId="606" priority="18" operator="equal">
      <formula>0</formula>
    </cfRule>
  </conditionalFormatting>
  <conditionalFormatting sqref="D27:G27">
    <cfRule type="cellIs" dxfId="605" priority="17" operator="equal">
      <formula>0</formula>
    </cfRule>
  </conditionalFormatting>
  <conditionalFormatting sqref="C26">
    <cfRule type="expression" dxfId="604" priority="16">
      <formula>$H$25=No</formula>
    </cfRule>
  </conditionalFormatting>
  <conditionalFormatting sqref="C27">
    <cfRule type="expression" dxfId="603" priority="15">
      <formula>$H$25=No</formula>
    </cfRule>
  </conditionalFormatting>
  <conditionalFormatting sqref="I26">
    <cfRule type="expression" dxfId="602" priority="14">
      <formula>$H$25=No</formula>
    </cfRule>
  </conditionalFormatting>
  <conditionalFormatting sqref="I27">
    <cfRule type="expression" dxfId="601" priority="13">
      <formula>$H$25=No</formula>
    </cfRule>
  </conditionalFormatting>
  <conditionalFormatting sqref="H26:H27">
    <cfRule type="expression" dxfId="600" priority="12">
      <formula>$H$25=No</formula>
    </cfRule>
  </conditionalFormatting>
  <conditionalFormatting sqref="C32:I36">
    <cfRule type="expression" dxfId="599" priority="4">
      <formula>$H$31="Uncertain"</formula>
    </cfRule>
    <cfRule type="expression" dxfId="598" priority="11">
      <formula>$H$31="No"</formula>
    </cfRule>
  </conditionalFormatting>
  <conditionalFormatting sqref="H34">
    <cfRule type="expression" priority="7">
      <formula>"'=$H$31=""Uncertain"""</formula>
    </cfRule>
  </conditionalFormatting>
  <conditionalFormatting sqref="H36">
    <cfRule type="expression" priority="3">
      <formula>"'=$H$31=""Uncertain"""</formula>
    </cfRule>
  </conditionalFormatting>
  <conditionalFormatting sqref="C31">
    <cfRule type="expression" dxfId="597" priority="1">
      <formula>$H$31="Uncertain"</formula>
    </cfRule>
    <cfRule type="expression" dxfId="596" priority="2">
      <formula>$H$31="No"</formula>
    </cfRule>
  </conditionalFormatting>
  <dataValidations count="13">
    <dataValidation type="list" allowBlank="1" showInputMessage="1" showErrorMessage="1" sqref="H18:H20 H51" xr:uid="{00000000-0002-0000-0200-000000000000}">
      <formula1>"Yes,No,Uncertain,N/A,Skip"</formula1>
    </dataValidation>
    <dataValidation type="decimal" allowBlank="1" showInputMessage="1" showErrorMessage="1" sqref="H52 H39" xr:uid="{00000000-0002-0000-0200-000001000000}">
      <formula1>0</formula1>
      <formula2>1</formula2>
    </dataValidation>
    <dataValidation type="list" allowBlank="1" showInputMessage="1" showErrorMessage="1" sqref="H25" xr:uid="{00000000-0002-0000-0200-000002000000}">
      <formula1>"Yes,No"</formula1>
    </dataValidation>
    <dataValidation type="list" allowBlank="1" showInputMessage="1" showErrorMessage="1" sqref="H30" xr:uid="{00000000-0002-0000-0200-000003000000}">
      <formula1>"Hectares,Acres"</formula1>
    </dataValidation>
    <dataValidation type="decimal" allowBlank="1" showInputMessage="1" showErrorMessage="1" sqref="H26:H27 H23" xr:uid="{00000000-0002-0000-0200-000004000000}">
      <formula1>-1</formula1>
      <formula2>1</formula2>
    </dataValidation>
    <dataValidation type="whole" allowBlank="1" showInputMessage="1" showErrorMessage="1" sqref="H35" xr:uid="{00000000-0002-0000-0200-000005000000}">
      <formula1>0</formula1>
      <formula2>10000000000000000</formula2>
    </dataValidation>
    <dataValidation type="whole" allowBlank="1" showInputMessage="1" showErrorMessage="1" sqref="H33:H34" xr:uid="{00000000-0002-0000-0200-000006000000}">
      <formula1>0</formula1>
      <formula2>1E+23</formula2>
    </dataValidation>
    <dataValidation type="list" allowBlank="1" showInputMessage="1" showErrorMessage="1" sqref="H55" xr:uid="{00000000-0002-0000-0200-000007000000}">
      <formula1>"Project has potential for recovery from previous adverse effects, Highly resilient and adaptive project, Moderately resilient to climate changes and hazards, None of the above, Not used"</formula1>
    </dataValidation>
    <dataValidation type="list" allowBlank="1" showInputMessage="1" showErrorMessage="1" sqref="H54" xr:uid="{00000000-0002-0000-0200-000008000000}">
      <formula1>"Net Carbon Negative, Carbon Neutral, Potential Reduction Possible, None of the Above, Not Used"</formula1>
    </dataValidation>
    <dataValidation type="whole" allowBlank="1" showInputMessage="1" showErrorMessage="1" sqref="H32" xr:uid="{00000000-0002-0000-0200-000009000000}">
      <formula1>0</formula1>
      <formula2>1000000000000000000</formula2>
    </dataValidation>
    <dataValidation type="decimal" allowBlank="1" showInputMessage="1" showErrorMessage="1" sqref="H44:H46" xr:uid="{00000000-0002-0000-0200-00000A000000}">
      <formula1>-100000000000</formula1>
      <formula2>10000000000000</formula2>
    </dataValidation>
    <dataValidation type="decimal" allowBlank="1" showInputMessage="1" showErrorMessage="1" sqref="H38 H41:H43 H47:H48" xr:uid="{00000000-0002-0000-0200-00000B000000}">
      <formula1>-10</formula1>
      <formula2>10</formula2>
    </dataValidation>
    <dataValidation type="list" allowBlank="1" showInputMessage="1" showErrorMessage="1" sqref="H31" xr:uid="{00000000-0002-0000-0200-00000C000000}">
      <formula1>"Yes,No,Uncertain"</formula1>
    </dataValidation>
  </dataValidations>
  <hyperlinks>
    <hyperlink ref="D38" location="VFM" display="Value for Money from the Project" xr:uid="{00000000-0004-0000-0200-000000000000}"/>
    <hyperlink ref="C10:H10" location="Project_Profile" display="Project Profile" xr:uid="{00000000-0004-0000-0200-000001000000}"/>
    <hyperlink ref="C17:H17" location="Prerequisites" display="Prerequisite Conditions" xr:uid="{00000000-0004-0000-0200-000002000000}"/>
    <hyperlink ref="C53:H53" location="EN_CC" display="H) Climate change and Resilience Profile" xr:uid="{00000000-0004-0000-0200-000003000000}"/>
    <hyperlink ref="C21:H21" location="Revenue_Profile" display="C) Revenue Profile" xr:uid="{00000000-0004-0000-0200-000004000000}"/>
    <hyperlink ref="C24:H24" location="Govt.Support" display="D) Government Support" xr:uid="{00000000-0004-0000-0200-000005000000}"/>
    <hyperlink ref="C29:H29" location="Landstatus" display="E) Land Status" xr:uid="{00000000-0004-0000-0200-000006000000}"/>
    <hyperlink ref="C37:H37" location="'0.Basic Project Data'!O35" display="F) Value for Money - Quantitative Assessment" xr:uid="{00000000-0004-0000-0200-000007000000}"/>
    <hyperlink ref="C40:H40" location="'0.Basic Project Data'!O38" display="G) Return Expectations" xr:uid="{00000000-0004-0000-0200-000008000000}"/>
    <hyperlink ref="C50:H50" location="Forex" display="H) Foreign Exchange Risk Profile" xr:uid="{00000000-0004-0000-0200-000009000000}"/>
  </hyperlinks>
  <pageMargins left="0.7" right="0.7" top="0.75" bottom="0.75" header="0.3" footer="0.3"/>
  <pageSetup paperSize="9" scale="2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4" id="{C8B4FAB5-A7E9-4FD7-B742-DB4771CE7A7D}">
            <xm:f>'Data Analysis'!H186="Fail"</xm:f>
            <x14:dxf>
              <font>
                <color theme="1"/>
              </font>
              <fill>
                <patternFill>
                  <bgColor rgb="FFC00000"/>
                </patternFill>
              </fill>
            </x14:dxf>
          </x14:cfRule>
          <xm:sqref>J6:J8</xm:sqref>
        </x14:conditionalFormatting>
        <x14:conditionalFormatting xmlns:xm="http://schemas.microsoft.com/office/excel/2006/main">
          <x14:cfRule type="expression" priority="683" id="{C8B4FAB5-A7E9-4FD7-B742-DB4771CE7A7D}">
            <xm:f>'Data Analysis'!G186="Fail"</xm:f>
            <x14:dxf>
              <font>
                <color theme="1"/>
              </font>
              <fill>
                <patternFill>
                  <bgColor rgb="FFC00000"/>
                </patternFill>
              </fill>
            </x14:dxf>
          </x14:cfRule>
          <xm:sqref>E6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D000000}">
          <x14:formula1>
            <xm:f>'Data Analysis'!$C$157:$C$159</xm:f>
          </x14:formula1>
          <xm:sqref>H22</xm:sqref>
        </x14:dataValidation>
        <x14:dataValidation type="list" allowBlank="1" showInputMessage="1" showErrorMessage="1" xr:uid="{00000000-0002-0000-0200-00000E000000}">
          <x14:formula1>
            <xm:f>'Data Analysis'!$C$162:$C$164</xm:f>
          </x14:formula1>
          <xm:sqref>F13:H13</xm:sqref>
        </x14:dataValidation>
        <x14:dataValidation type="list" allowBlank="1" showInputMessage="1" showErrorMessage="1" xr:uid="{00000000-0002-0000-0200-00000F000000}">
          <x14:formula1>
            <xm:f>'Data Analysis'!$C$166:$C$167</xm:f>
          </x14:formula1>
          <xm:sqref>F14:G14</xm:sqref>
        </x14:dataValidation>
        <x14:dataValidation type="list" allowBlank="1" showInputMessage="1" showErrorMessage="1" xr:uid="{00000000-0002-0000-0200-000010000000}">
          <x14:formula1>
            <xm:f>'Data Analysis'!$C$175:$C$177</xm:f>
          </x14:formula1>
          <xm:sqref>F36:H36</xm:sqref>
        </x14:dataValidation>
        <x14:dataValidation type="list" allowBlank="1" showInputMessage="1" showErrorMessage="1" xr:uid="{00000000-0002-0000-0200-000011000000}">
          <x14:formula1>
            <xm:f>'Data Analysis'!$C$166:$C$168</xm:f>
          </x14:formula1>
          <xm:sqref>H14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1"/>
    <pageSetUpPr fitToPage="1"/>
  </sheetPr>
  <dimension ref="A1:XFD120"/>
  <sheetViews>
    <sheetView topLeftCell="C1" zoomScale="83" zoomScaleNormal="70" workbookViewId="0">
      <selection activeCell="E1" sqref="E1"/>
    </sheetView>
  </sheetViews>
  <sheetFormatPr defaultColWidth="9.21875" defaultRowHeight="14.4" x14ac:dyDescent="0.3"/>
  <cols>
    <col min="1" max="1" width="3.44140625" style="47" hidden="1" customWidth="1"/>
    <col min="2" max="2" width="4.44140625" style="12" customWidth="1"/>
    <col min="3" max="3" width="3.21875" style="50" customWidth="1"/>
    <col min="4" max="12" width="4" style="47" customWidth="1"/>
    <col min="13" max="15" width="9.21875" style="47" customWidth="1"/>
    <col min="16" max="16" width="10.5546875" style="47" customWidth="1"/>
    <col min="17" max="20" width="9.21875" style="47" customWidth="1"/>
    <col min="21" max="21" width="4.44140625" style="47" customWidth="1"/>
    <col min="22" max="24" width="9.21875" style="47" customWidth="1"/>
    <col min="25" max="25" width="9.21875" style="200" customWidth="1"/>
    <col min="26" max="26" width="3.5546875" style="47" customWidth="1"/>
    <col min="27" max="28" width="9.21875" style="47" customWidth="1"/>
    <col min="29" max="29" width="4.44140625" style="47" customWidth="1"/>
    <col min="30" max="30" width="9.21875" style="47" customWidth="1"/>
    <col min="31" max="31" width="53.5546875" style="47" customWidth="1"/>
    <col min="32" max="32" width="2.44140625" style="12" customWidth="1"/>
    <col min="33" max="33" width="1.44140625" style="47" customWidth="1"/>
    <col min="34" max="34" width="9.21875" style="12"/>
    <col min="35" max="35" width="53.5546875" style="12" customWidth="1"/>
    <col min="36" max="37" width="9.21875" style="12"/>
    <col min="38" max="38" width="60.5546875" style="12" customWidth="1"/>
    <col min="39" max="39" width="116.5546875" style="12" customWidth="1"/>
    <col min="40" max="42" width="9.21875" style="12"/>
    <col min="43" max="43" width="1.77734375" style="12" customWidth="1"/>
    <col min="44" max="50" width="9.21875" style="12"/>
    <col min="51" max="52" width="9.21875" style="12" customWidth="1"/>
    <col min="53" max="16384" width="9.21875" style="12"/>
  </cols>
  <sheetData>
    <row r="1" spans="1:16384" ht="30" thickTop="1" thickBot="1" x14ac:dyDescent="0.6">
      <c r="A1" s="10"/>
      <c r="B1" s="10"/>
      <c r="C1" s="58" t="s">
        <v>461</v>
      </c>
      <c r="D1" s="11"/>
      <c r="E1" s="11"/>
      <c r="F1" s="11"/>
      <c r="G1" s="11"/>
      <c r="H1" s="11"/>
      <c r="I1" s="11"/>
      <c r="J1" s="11"/>
      <c r="K1" s="11"/>
      <c r="L1" s="11"/>
      <c r="M1" s="11"/>
      <c r="N1" s="11"/>
      <c r="O1" s="11"/>
      <c r="P1" s="11"/>
      <c r="Q1" s="11"/>
      <c r="R1" s="11"/>
      <c r="S1" s="11"/>
      <c r="T1" s="11"/>
      <c r="U1" s="11"/>
      <c r="V1" s="11"/>
      <c r="W1" s="11"/>
      <c r="X1" s="11"/>
      <c r="Y1" s="198"/>
      <c r="Z1" s="11"/>
      <c r="AA1" s="11"/>
      <c r="AB1" s="11"/>
      <c r="AC1" s="626"/>
      <c r="AD1" s="626"/>
      <c r="AE1" s="626"/>
      <c r="AF1" s="626"/>
      <c r="AG1" s="626"/>
      <c r="AH1" s="47"/>
      <c r="AI1" s="47"/>
      <c r="AJ1" s="47"/>
      <c r="AK1" s="47"/>
      <c r="AL1" s="47"/>
      <c r="AM1" s="47"/>
      <c r="AN1" s="47"/>
      <c r="AO1" s="47"/>
      <c r="AP1" s="47"/>
      <c r="AQ1" s="47"/>
      <c r="AR1" s="47"/>
      <c r="AS1" s="47"/>
      <c r="AT1" s="47"/>
      <c r="AU1" s="47"/>
      <c r="AV1" s="47"/>
      <c r="AW1" s="47"/>
      <c r="AX1" s="47"/>
      <c r="AY1" s="47"/>
      <c r="AZ1" s="47"/>
      <c r="BA1" s="628" t="str">
        <f>IF('Data Analysis'!H277=0,SuitabilityA,"")</f>
        <v/>
      </c>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c r="AWK1" s="47"/>
      <c r="AWL1" s="47"/>
      <c r="AWM1" s="47"/>
      <c r="AWN1" s="47"/>
      <c r="AWO1" s="47"/>
      <c r="AWP1" s="47"/>
      <c r="AWQ1" s="47"/>
      <c r="AWR1" s="47"/>
      <c r="AWS1" s="47"/>
      <c r="AWT1" s="47"/>
      <c r="AWU1" s="47"/>
      <c r="AWV1" s="47"/>
      <c r="AWW1" s="47"/>
      <c r="AWX1" s="47"/>
      <c r="AWY1" s="47"/>
      <c r="AWZ1" s="47"/>
      <c r="AXA1" s="47"/>
      <c r="AXB1" s="47"/>
      <c r="AXC1" s="47"/>
      <c r="AXD1" s="47"/>
      <c r="AXE1" s="47"/>
      <c r="AXF1" s="47"/>
      <c r="AXG1" s="47"/>
      <c r="AXH1" s="47"/>
      <c r="AXI1" s="47"/>
      <c r="AXJ1" s="47"/>
      <c r="AXK1" s="47"/>
      <c r="AXL1" s="47"/>
      <c r="AXM1" s="47"/>
      <c r="AXN1" s="47"/>
      <c r="AXO1" s="47"/>
      <c r="AXP1" s="47"/>
      <c r="AXQ1" s="47"/>
      <c r="AXR1" s="47"/>
      <c r="AXS1" s="47"/>
      <c r="AXT1" s="47"/>
      <c r="AXU1" s="47"/>
      <c r="AXV1" s="47"/>
      <c r="AXW1" s="47"/>
      <c r="AXX1" s="47"/>
      <c r="AXY1" s="47"/>
      <c r="AXZ1" s="47"/>
      <c r="AYA1" s="47"/>
      <c r="AYB1" s="47"/>
      <c r="AYC1" s="47"/>
      <c r="AYD1" s="47"/>
      <c r="AYE1" s="47"/>
      <c r="AYF1" s="47"/>
      <c r="AYG1" s="47"/>
      <c r="AYH1" s="47"/>
      <c r="AYI1" s="47"/>
      <c r="AYJ1" s="47"/>
      <c r="AYK1" s="47"/>
      <c r="AYL1" s="47"/>
      <c r="AYM1" s="47"/>
      <c r="AYN1" s="47"/>
      <c r="AYO1" s="47"/>
      <c r="AYP1" s="47"/>
      <c r="AYQ1" s="47"/>
      <c r="AYR1" s="47"/>
      <c r="AYS1" s="47"/>
      <c r="AYT1" s="47"/>
      <c r="AYU1" s="47"/>
      <c r="AYV1" s="47"/>
      <c r="AYW1" s="47"/>
      <c r="AYX1" s="47"/>
      <c r="AYY1" s="47"/>
      <c r="AYZ1" s="47"/>
      <c r="AZA1" s="47"/>
      <c r="AZB1" s="47"/>
      <c r="AZC1" s="47"/>
      <c r="AZD1" s="47"/>
      <c r="AZE1" s="47"/>
      <c r="AZF1" s="47"/>
      <c r="AZG1" s="47"/>
      <c r="AZH1" s="47"/>
      <c r="AZI1" s="47"/>
      <c r="AZJ1" s="47"/>
      <c r="AZK1" s="47"/>
      <c r="AZL1" s="47"/>
      <c r="AZM1" s="47"/>
      <c r="AZN1" s="47"/>
      <c r="AZO1" s="47"/>
      <c r="AZP1" s="47"/>
      <c r="AZQ1" s="47"/>
      <c r="AZR1" s="47"/>
      <c r="AZS1" s="47"/>
      <c r="AZT1" s="47"/>
      <c r="AZU1" s="47"/>
      <c r="AZV1" s="47"/>
      <c r="AZW1" s="47"/>
      <c r="AZX1" s="47"/>
      <c r="AZY1" s="47"/>
      <c r="AZZ1" s="47"/>
      <c r="BAA1" s="47"/>
      <c r="BAB1" s="47"/>
      <c r="BAC1" s="47"/>
      <c r="BAD1" s="47"/>
      <c r="BAE1" s="47"/>
      <c r="BAF1" s="47"/>
      <c r="BAG1" s="47"/>
      <c r="BAH1" s="47"/>
      <c r="BAI1" s="47"/>
      <c r="BAJ1" s="47"/>
      <c r="BAK1" s="47"/>
      <c r="BAL1" s="47"/>
      <c r="BAM1" s="47"/>
      <c r="BAN1" s="47"/>
      <c r="BAO1" s="47"/>
      <c r="BAP1" s="47"/>
      <c r="BAQ1" s="47"/>
      <c r="BAR1" s="47"/>
      <c r="BAS1" s="47"/>
      <c r="BAT1" s="47"/>
      <c r="BAU1" s="47"/>
      <c r="BAV1" s="47"/>
      <c r="BAW1" s="47"/>
      <c r="BAX1" s="47"/>
      <c r="BAY1" s="47"/>
      <c r="BAZ1" s="47"/>
      <c r="BBA1" s="47"/>
      <c r="BBB1" s="47"/>
      <c r="BBC1" s="47"/>
      <c r="BBD1" s="47"/>
      <c r="BBE1" s="47"/>
      <c r="BBF1" s="47"/>
      <c r="BBG1" s="47"/>
      <c r="BBH1" s="47"/>
      <c r="BBI1" s="47"/>
      <c r="BBJ1" s="47"/>
      <c r="BBK1" s="47"/>
      <c r="BBL1" s="47"/>
      <c r="BBM1" s="47"/>
      <c r="BBN1" s="47"/>
      <c r="BBO1" s="47"/>
      <c r="BBP1" s="47"/>
      <c r="BBQ1" s="47"/>
      <c r="BBR1" s="47"/>
      <c r="BBS1" s="47"/>
      <c r="BBT1" s="47"/>
      <c r="BBU1" s="47"/>
      <c r="BBV1" s="47"/>
      <c r="BBW1" s="47"/>
      <c r="BBX1" s="47"/>
      <c r="BBY1" s="47"/>
      <c r="BBZ1" s="47"/>
      <c r="BCA1" s="47"/>
      <c r="BCB1" s="47"/>
      <c r="BCC1" s="47"/>
      <c r="BCD1" s="47"/>
      <c r="BCE1" s="47"/>
      <c r="BCF1" s="47"/>
      <c r="BCG1" s="47"/>
      <c r="BCH1" s="47"/>
      <c r="BCI1" s="47"/>
      <c r="BCJ1" s="47"/>
      <c r="BCK1" s="47"/>
      <c r="BCL1" s="47"/>
      <c r="BCM1" s="47"/>
      <c r="BCN1" s="47"/>
      <c r="BCO1" s="47"/>
      <c r="BCP1" s="47"/>
      <c r="BCQ1" s="47"/>
      <c r="BCR1" s="47"/>
      <c r="BCS1" s="47"/>
      <c r="BCT1" s="47"/>
      <c r="BCU1" s="47"/>
      <c r="BCV1" s="47"/>
      <c r="BCW1" s="47"/>
      <c r="BCX1" s="47"/>
      <c r="BCY1" s="47"/>
      <c r="BCZ1" s="47"/>
      <c r="BDA1" s="47"/>
      <c r="BDB1" s="47"/>
      <c r="BDC1" s="47"/>
      <c r="BDD1" s="47"/>
      <c r="BDE1" s="47"/>
      <c r="BDF1" s="47"/>
      <c r="BDG1" s="47"/>
      <c r="BDH1" s="47"/>
      <c r="BDI1" s="47"/>
      <c r="BDJ1" s="47"/>
      <c r="BDK1" s="47"/>
      <c r="BDL1" s="47"/>
      <c r="BDM1" s="47"/>
      <c r="BDN1" s="47"/>
      <c r="BDO1" s="47"/>
      <c r="BDP1" s="47"/>
      <c r="BDQ1" s="47"/>
      <c r="BDR1" s="47"/>
      <c r="BDS1" s="47"/>
      <c r="BDT1" s="47"/>
      <c r="BDU1" s="47"/>
      <c r="BDV1" s="47"/>
      <c r="BDW1" s="47"/>
      <c r="BDX1" s="47"/>
      <c r="BDY1" s="47"/>
      <c r="BDZ1" s="47"/>
      <c r="BEA1" s="47"/>
      <c r="BEB1" s="47"/>
      <c r="BEC1" s="47"/>
      <c r="BED1" s="47"/>
      <c r="BEE1" s="47"/>
      <c r="BEF1" s="47"/>
      <c r="BEG1" s="47"/>
      <c r="BEH1" s="47"/>
      <c r="BEI1" s="47"/>
      <c r="BEJ1" s="47"/>
      <c r="BEK1" s="47"/>
      <c r="BEL1" s="47"/>
      <c r="BEM1" s="47"/>
      <c r="BEN1" s="47"/>
      <c r="BEO1" s="47"/>
      <c r="BEP1" s="47"/>
      <c r="BEQ1" s="47"/>
      <c r="BER1" s="47"/>
      <c r="BES1" s="47"/>
      <c r="BET1" s="47"/>
      <c r="BEU1" s="47"/>
      <c r="BEV1" s="47"/>
      <c r="BEW1" s="47"/>
      <c r="BEX1" s="47"/>
      <c r="BEY1" s="47"/>
      <c r="BEZ1" s="47"/>
      <c r="BFA1" s="47"/>
      <c r="BFB1" s="47"/>
      <c r="BFC1" s="47"/>
      <c r="BFD1" s="47"/>
      <c r="BFE1" s="47"/>
      <c r="BFF1" s="47"/>
      <c r="BFG1" s="47"/>
      <c r="BFH1" s="47"/>
      <c r="BFI1" s="47"/>
      <c r="BFJ1" s="47"/>
      <c r="BFK1" s="47"/>
      <c r="BFL1" s="47"/>
      <c r="BFM1" s="47"/>
      <c r="BFN1" s="47"/>
      <c r="BFO1" s="47"/>
      <c r="BFP1" s="47"/>
      <c r="BFQ1" s="47"/>
      <c r="BFR1" s="47"/>
      <c r="BFS1" s="47"/>
      <c r="BFT1" s="47"/>
      <c r="BFU1" s="47"/>
      <c r="BFV1" s="47"/>
      <c r="BFW1" s="47"/>
      <c r="BFX1" s="47"/>
      <c r="BFY1" s="47"/>
      <c r="BFZ1" s="47"/>
      <c r="BGA1" s="47"/>
      <c r="BGB1" s="47"/>
      <c r="BGC1" s="47"/>
      <c r="BGD1" s="47"/>
      <c r="BGE1" s="47"/>
      <c r="BGF1" s="47"/>
      <c r="BGG1" s="47"/>
      <c r="BGH1" s="47"/>
      <c r="BGI1" s="47"/>
      <c r="BGJ1" s="47"/>
      <c r="BGK1" s="47"/>
      <c r="BGL1" s="47"/>
      <c r="BGM1" s="47"/>
      <c r="BGN1" s="47"/>
      <c r="BGO1" s="47"/>
      <c r="BGP1" s="47"/>
      <c r="BGQ1" s="47"/>
      <c r="BGR1" s="47"/>
      <c r="BGS1" s="47"/>
      <c r="BGT1" s="47"/>
      <c r="BGU1" s="47"/>
      <c r="BGV1" s="47"/>
      <c r="BGW1" s="47"/>
      <c r="BGX1" s="47"/>
      <c r="BGY1" s="47"/>
      <c r="BGZ1" s="47"/>
      <c r="BHA1" s="47"/>
      <c r="BHB1" s="47"/>
      <c r="BHC1" s="47"/>
      <c r="BHD1" s="47"/>
      <c r="BHE1" s="47"/>
      <c r="BHF1" s="47"/>
      <c r="BHG1" s="47"/>
      <c r="BHH1" s="47"/>
      <c r="BHI1" s="47"/>
      <c r="BHJ1" s="47"/>
      <c r="BHK1" s="47"/>
      <c r="BHL1" s="47"/>
      <c r="BHM1" s="47"/>
      <c r="BHN1" s="47"/>
      <c r="BHO1" s="47"/>
      <c r="BHP1" s="47"/>
      <c r="BHQ1" s="47"/>
      <c r="BHR1" s="47"/>
      <c r="BHS1" s="47"/>
      <c r="BHT1" s="47"/>
      <c r="BHU1" s="47"/>
      <c r="BHV1" s="47"/>
      <c r="BHW1" s="47"/>
      <c r="BHX1" s="47"/>
      <c r="BHY1" s="47"/>
      <c r="BHZ1" s="47"/>
      <c r="BIA1" s="47"/>
      <c r="BIB1" s="47"/>
      <c r="BIC1" s="47"/>
      <c r="BID1" s="47"/>
      <c r="BIE1" s="47"/>
      <c r="BIF1" s="47"/>
      <c r="BIG1" s="47"/>
      <c r="BIH1" s="47"/>
      <c r="BII1" s="47"/>
      <c r="BIJ1" s="47"/>
      <c r="BIK1" s="47"/>
      <c r="BIL1" s="47"/>
      <c r="BIM1" s="47"/>
      <c r="BIN1" s="47"/>
      <c r="BIO1" s="47"/>
      <c r="BIP1" s="47"/>
      <c r="BIQ1" s="47"/>
      <c r="BIR1" s="47"/>
      <c r="BIS1" s="47"/>
      <c r="BIT1" s="47"/>
      <c r="BIU1" s="47"/>
      <c r="BIV1" s="47"/>
      <c r="BIW1" s="47"/>
      <c r="BIX1" s="47"/>
      <c r="BIY1" s="47"/>
      <c r="BIZ1" s="47"/>
      <c r="BJA1" s="47"/>
      <c r="BJB1" s="47"/>
      <c r="BJC1" s="47"/>
      <c r="BJD1" s="47"/>
      <c r="BJE1" s="47"/>
      <c r="BJF1" s="47"/>
      <c r="BJG1" s="47"/>
      <c r="BJH1" s="47"/>
      <c r="BJI1" s="47"/>
      <c r="BJJ1" s="47"/>
      <c r="BJK1" s="47"/>
      <c r="BJL1" s="47"/>
      <c r="BJM1" s="47"/>
      <c r="BJN1" s="47"/>
      <c r="BJO1" s="47"/>
      <c r="BJP1" s="47"/>
      <c r="BJQ1" s="47"/>
      <c r="BJR1" s="47"/>
      <c r="BJS1" s="47"/>
      <c r="BJT1" s="47"/>
      <c r="BJU1" s="47"/>
      <c r="BJV1" s="47"/>
      <c r="BJW1" s="47"/>
      <c r="BJX1" s="47"/>
      <c r="BJY1" s="47"/>
      <c r="BJZ1" s="47"/>
      <c r="BKA1" s="47"/>
      <c r="BKB1" s="47"/>
      <c r="BKC1" s="47"/>
      <c r="BKD1" s="47"/>
      <c r="BKE1" s="47"/>
      <c r="BKF1" s="47"/>
      <c r="BKG1" s="47"/>
      <c r="BKH1" s="47"/>
      <c r="BKI1" s="47"/>
      <c r="BKJ1" s="47"/>
      <c r="BKK1" s="47"/>
      <c r="BKL1" s="47"/>
      <c r="BKM1" s="47"/>
      <c r="BKN1" s="47"/>
      <c r="BKO1" s="47"/>
      <c r="BKP1" s="47"/>
      <c r="BKQ1" s="47"/>
      <c r="BKR1" s="47"/>
      <c r="BKS1" s="47"/>
      <c r="BKT1" s="47"/>
      <c r="BKU1" s="47"/>
      <c r="BKV1" s="47"/>
      <c r="BKW1" s="47"/>
      <c r="BKX1" s="47"/>
      <c r="BKY1" s="47"/>
      <c r="BKZ1" s="47"/>
      <c r="BLA1" s="47"/>
      <c r="BLB1" s="47"/>
      <c r="BLC1" s="47"/>
      <c r="BLD1" s="47"/>
      <c r="BLE1" s="47"/>
      <c r="BLF1" s="47"/>
      <c r="BLG1" s="47"/>
      <c r="BLH1" s="47"/>
      <c r="BLI1" s="47"/>
      <c r="BLJ1" s="47"/>
      <c r="BLK1" s="47"/>
      <c r="BLL1" s="47"/>
      <c r="BLM1" s="47"/>
      <c r="BLN1" s="47"/>
      <c r="BLO1" s="47"/>
      <c r="BLP1" s="47"/>
      <c r="BLQ1" s="47"/>
      <c r="BLR1" s="47"/>
      <c r="BLS1" s="47"/>
      <c r="BLT1" s="47"/>
      <c r="BLU1" s="47"/>
      <c r="BLV1" s="47"/>
      <c r="BLW1" s="47"/>
      <c r="BLX1" s="47"/>
      <c r="BLY1" s="47"/>
      <c r="BLZ1" s="47"/>
      <c r="BMA1" s="47"/>
      <c r="BMB1" s="47"/>
      <c r="BMC1" s="47"/>
      <c r="BMD1" s="47"/>
      <c r="BME1" s="47"/>
      <c r="BMF1" s="47"/>
      <c r="BMG1" s="47"/>
      <c r="BMH1" s="47"/>
      <c r="BMI1" s="47"/>
      <c r="BMJ1" s="47"/>
      <c r="BMK1" s="47"/>
      <c r="BML1" s="47"/>
      <c r="BMM1" s="47"/>
      <c r="BMN1" s="47"/>
      <c r="BMO1" s="47"/>
      <c r="BMP1" s="47"/>
      <c r="BMQ1" s="47"/>
      <c r="BMR1" s="47"/>
      <c r="BMS1" s="47"/>
      <c r="BMT1" s="47"/>
      <c r="BMU1" s="47"/>
      <c r="BMV1" s="47"/>
      <c r="BMW1" s="47"/>
      <c r="BMX1" s="47"/>
      <c r="BMY1" s="47"/>
      <c r="BMZ1" s="47"/>
      <c r="BNA1" s="47"/>
      <c r="BNB1" s="47"/>
      <c r="BNC1" s="47"/>
      <c r="BND1" s="47"/>
      <c r="BNE1" s="47"/>
      <c r="BNF1" s="47"/>
      <c r="BNG1" s="47"/>
      <c r="BNH1" s="47"/>
      <c r="BNI1" s="47"/>
      <c r="BNJ1" s="47"/>
      <c r="BNK1" s="47"/>
      <c r="BNL1" s="47"/>
      <c r="BNM1" s="47"/>
      <c r="BNN1" s="47"/>
      <c r="BNO1" s="47"/>
      <c r="BNP1" s="47"/>
      <c r="BNQ1" s="47"/>
      <c r="BNR1" s="47"/>
      <c r="BNS1" s="47"/>
      <c r="BNT1" s="47"/>
      <c r="BNU1" s="47"/>
      <c r="BNV1" s="47"/>
      <c r="BNW1" s="47"/>
      <c r="BNX1" s="47"/>
      <c r="BNY1" s="47"/>
      <c r="BNZ1" s="47"/>
      <c r="BOA1" s="47"/>
      <c r="BOB1" s="47"/>
      <c r="BOC1" s="47"/>
      <c r="BOD1" s="47"/>
      <c r="BOE1" s="47"/>
      <c r="BOF1" s="47"/>
      <c r="BOG1" s="47"/>
      <c r="BOH1" s="47"/>
      <c r="BOI1" s="47"/>
      <c r="BOJ1" s="47"/>
      <c r="BOK1" s="47"/>
      <c r="BOL1" s="47"/>
      <c r="BOM1" s="47"/>
      <c r="BON1" s="47"/>
      <c r="BOO1" s="47"/>
      <c r="BOP1" s="47"/>
      <c r="BOQ1" s="47"/>
      <c r="BOR1" s="47"/>
      <c r="BOS1" s="47"/>
      <c r="BOT1" s="47"/>
      <c r="BOU1" s="47"/>
      <c r="BOV1" s="47"/>
      <c r="BOW1" s="47"/>
      <c r="BOX1" s="47"/>
      <c r="BOY1" s="47"/>
      <c r="BOZ1" s="47"/>
      <c r="BPA1" s="47"/>
      <c r="BPB1" s="47"/>
      <c r="BPC1" s="47"/>
      <c r="BPD1" s="47"/>
      <c r="BPE1" s="47"/>
      <c r="BPF1" s="47"/>
      <c r="BPG1" s="47"/>
      <c r="BPH1" s="47"/>
      <c r="BPI1" s="47"/>
      <c r="BPJ1" s="47"/>
      <c r="BPK1" s="47"/>
      <c r="BPL1" s="47"/>
      <c r="BPM1" s="47"/>
      <c r="BPN1" s="47"/>
      <c r="BPO1" s="47"/>
      <c r="BPP1" s="47"/>
      <c r="BPQ1" s="47"/>
      <c r="BPR1" s="47"/>
      <c r="BPS1" s="47"/>
      <c r="BPT1" s="47"/>
      <c r="BPU1" s="47"/>
      <c r="BPV1" s="47"/>
      <c r="BPW1" s="47"/>
      <c r="BPX1" s="47"/>
      <c r="BPY1" s="47"/>
      <c r="BPZ1" s="47"/>
      <c r="BQA1" s="47"/>
      <c r="BQB1" s="47"/>
      <c r="BQC1" s="47"/>
      <c r="BQD1" s="47"/>
      <c r="BQE1" s="47"/>
      <c r="BQF1" s="47"/>
      <c r="BQG1" s="47"/>
      <c r="BQH1" s="47"/>
      <c r="BQI1" s="47"/>
      <c r="BQJ1" s="47"/>
      <c r="BQK1" s="47"/>
      <c r="BQL1" s="47"/>
      <c r="BQM1" s="47"/>
      <c r="BQN1" s="47"/>
      <c r="BQO1" s="47"/>
      <c r="BQP1" s="47"/>
      <c r="BQQ1" s="47"/>
      <c r="BQR1" s="47"/>
      <c r="BQS1" s="47"/>
      <c r="BQT1" s="47"/>
      <c r="BQU1" s="47"/>
      <c r="BQV1" s="47"/>
      <c r="BQW1" s="47"/>
      <c r="BQX1" s="47"/>
      <c r="BQY1" s="47"/>
      <c r="BQZ1" s="47"/>
      <c r="BRA1" s="47"/>
      <c r="BRB1" s="47"/>
      <c r="BRC1" s="47"/>
      <c r="BRD1" s="47"/>
      <c r="BRE1" s="47"/>
      <c r="BRF1" s="47"/>
      <c r="BRG1" s="47"/>
      <c r="BRH1" s="47"/>
      <c r="BRI1" s="47"/>
      <c r="BRJ1" s="47"/>
      <c r="BRK1" s="47"/>
      <c r="BRL1" s="47"/>
      <c r="BRM1" s="47"/>
      <c r="BRN1" s="47"/>
      <c r="BRO1" s="47"/>
      <c r="BRP1" s="47"/>
      <c r="BRQ1" s="47"/>
      <c r="BRR1" s="47"/>
      <c r="BRS1" s="47"/>
      <c r="BRT1" s="47"/>
      <c r="BRU1" s="47"/>
      <c r="BRV1" s="47"/>
      <c r="BRW1" s="47"/>
      <c r="BRX1" s="47"/>
      <c r="BRY1" s="47"/>
      <c r="BRZ1" s="47"/>
      <c r="BSA1" s="47"/>
      <c r="BSB1" s="47"/>
      <c r="BSC1" s="47"/>
      <c r="BSD1" s="47"/>
      <c r="BSE1" s="47"/>
      <c r="BSF1" s="47"/>
      <c r="BSG1" s="47"/>
      <c r="BSH1" s="47"/>
      <c r="BSI1" s="47"/>
      <c r="BSJ1" s="47"/>
      <c r="BSK1" s="47"/>
      <c r="BSL1" s="47"/>
      <c r="BSM1" s="47"/>
      <c r="BSN1" s="47"/>
      <c r="BSO1" s="47"/>
      <c r="BSP1" s="47"/>
      <c r="BSQ1" s="47"/>
      <c r="BSR1" s="47"/>
      <c r="BSS1" s="47"/>
      <c r="BST1" s="47"/>
      <c r="BSU1" s="47"/>
      <c r="BSV1" s="47"/>
      <c r="BSW1" s="47"/>
      <c r="BSX1" s="47"/>
      <c r="BSY1" s="47"/>
      <c r="BSZ1" s="47"/>
      <c r="BTA1" s="47"/>
      <c r="BTB1" s="47"/>
      <c r="BTC1" s="47"/>
      <c r="BTD1" s="47"/>
      <c r="BTE1" s="47"/>
      <c r="BTF1" s="47"/>
      <c r="BTG1" s="47"/>
      <c r="BTH1" s="47"/>
      <c r="BTI1" s="47"/>
      <c r="BTJ1" s="47"/>
      <c r="BTK1" s="47"/>
      <c r="BTL1" s="47"/>
      <c r="BTM1" s="47"/>
      <c r="BTN1" s="47"/>
      <c r="BTO1" s="47"/>
      <c r="BTP1" s="47"/>
      <c r="BTQ1" s="47"/>
      <c r="BTR1" s="47"/>
      <c r="BTS1" s="47"/>
      <c r="BTT1" s="47"/>
      <c r="BTU1" s="47"/>
      <c r="BTV1" s="47"/>
      <c r="BTW1" s="47"/>
      <c r="BTX1" s="47"/>
      <c r="BTY1" s="47"/>
      <c r="BTZ1" s="47"/>
      <c r="BUA1" s="47"/>
      <c r="BUB1" s="47"/>
      <c r="BUC1" s="47"/>
      <c r="BUD1" s="47"/>
      <c r="BUE1" s="47"/>
      <c r="BUF1" s="47"/>
      <c r="BUG1" s="47"/>
      <c r="BUH1" s="47"/>
      <c r="BUI1" s="47"/>
      <c r="BUJ1" s="47"/>
      <c r="BUK1" s="47"/>
      <c r="BUL1" s="47"/>
      <c r="BUM1" s="47"/>
      <c r="BUN1" s="47"/>
      <c r="BUO1" s="47"/>
      <c r="BUP1" s="47"/>
      <c r="BUQ1" s="47"/>
      <c r="BUR1" s="47"/>
      <c r="BUS1" s="47"/>
      <c r="BUT1" s="47"/>
      <c r="BUU1" s="47"/>
      <c r="BUV1" s="47"/>
      <c r="BUW1" s="47"/>
      <c r="BUX1" s="47"/>
      <c r="BUY1" s="47"/>
      <c r="BUZ1" s="47"/>
      <c r="BVA1" s="47"/>
      <c r="BVB1" s="47"/>
      <c r="BVC1" s="47"/>
      <c r="BVD1" s="47"/>
      <c r="BVE1" s="47"/>
      <c r="BVF1" s="47"/>
      <c r="BVG1" s="47"/>
      <c r="BVH1" s="47"/>
      <c r="BVI1" s="47"/>
      <c r="BVJ1" s="47"/>
      <c r="BVK1" s="47"/>
      <c r="BVL1" s="47"/>
      <c r="BVM1" s="47"/>
      <c r="BVN1" s="47"/>
      <c r="BVO1" s="47"/>
      <c r="BVP1" s="47"/>
      <c r="BVQ1" s="47"/>
      <c r="BVR1" s="47"/>
      <c r="BVS1" s="47"/>
      <c r="BVT1" s="47"/>
      <c r="BVU1" s="47"/>
      <c r="BVV1" s="47"/>
      <c r="BVW1" s="47"/>
      <c r="BVX1" s="47"/>
      <c r="BVY1" s="47"/>
      <c r="BVZ1" s="47"/>
      <c r="BWA1" s="47"/>
      <c r="BWB1" s="47"/>
      <c r="BWC1" s="47"/>
      <c r="BWD1" s="47"/>
      <c r="BWE1" s="47"/>
      <c r="BWF1" s="47"/>
      <c r="BWG1" s="47"/>
      <c r="BWH1" s="47"/>
      <c r="BWI1" s="47"/>
      <c r="BWJ1" s="47"/>
      <c r="BWK1" s="47"/>
      <c r="BWL1" s="47"/>
      <c r="BWM1" s="47"/>
      <c r="BWN1" s="47"/>
      <c r="BWO1" s="47"/>
      <c r="BWP1" s="47"/>
      <c r="BWQ1" s="47"/>
      <c r="BWR1" s="47"/>
      <c r="BWS1" s="47"/>
      <c r="BWT1" s="47"/>
      <c r="BWU1" s="47"/>
      <c r="BWV1" s="47"/>
      <c r="BWW1" s="47"/>
      <c r="BWX1" s="47"/>
      <c r="BWY1" s="47"/>
      <c r="BWZ1" s="47"/>
      <c r="BXA1" s="47"/>
      <c r="BXB1" s="47"/>
      <c r="BXC1" s="47"/>
      <c r="BXD1" s="47"/>
      <c r="BXE1" s="47"/>
      <c r="BXF1" s="47"/>
      <c r="BXG1" s="47"/>
      <c r="BXH1" s="47"/>
      <c r="BXI1" s="47"/>
      <c r="BXJ1" s="47"/>
      <c r="BXK1" s="47"/>
      <c r="BXL1" s="47"/>
      <c r="BXM1" s="47"/>
      <c r="BXN1" s="47"/>
      <c r="BXO1" s="47"/>
      <c r="BXP1" s="47"/>
      <c r="BXQ1" s="47"/>
      <c r="BXR1" s="47"/>
      <c r="BXS1" s="47"/>
      <c r="BXT1" s="47"/>
      <c r="BXU1" s="47"/>
      <c r="BXV1" s="47"/>
      <c r="BXW1" s="47"/>
      <c r="BXX1" s="47"/>
      <c r="BXY1" s="47"/>
      <c r="BXZ1" s="47"/>
      <c r="BYA1" s="47"/>
      <c r="BYB1" s="47"/>
      <c r="BYC1" s="47"/>
      <c r="BYD1" s="47"/>
      <c r="BYE1" s="47"/>
      <c r="BYF1" s="47"/>
      <c r="BYG1" s="47"/>
      <c r="BYH1" s="47"/>
      <c r="BYI1" s="47"/>
      <c r="BYJ1" s="47"/>
      <c r="BYK1" s="47"/>
      <c r="BYL1" s="47"/>
      <c r="BYM1" s="47"/>
      <c r="BYN1" s="47"/>
      <c r="BYO1" s="47"/>
      <c r="BYP1" s="47"/>
      <c r="BYQ1" s="47"/>
      <c r="BYR1" s="47"/>
      <c r="BYS1" s="47"/>
      <c r="BYT1" s="47"/>
      <c r="BYU1" s="47"/>
      <c r="BYV1" s="47"/>
      <c r="BYW1" s="47"/>
      <c r="BYX1" s="47"/>
      <c r="BYY1" s="47"/>
      <c r="BYZ1" s="47"/>
      <c r="BZA1" s="47"/>
      <c r="BZB1" s="47"/>
      <c r="BZC1" s="47"/>
      <c r="BZD1" s="47"/>
      <c r="BZE1" s="47"/>
      <c r="BZF1" s="47"/>
      <c r="BZG1" s="47"/>
      <c r="BZH1" s="47"/>
      <c r="BZI1" s="47"/>
      <c r="BZJ1" s="47"/>
      <c r="BZK1" s="47"/>
      <c r="BZL1" s="47"/>
      <c r="BZM1" s="47"/>
      <c r="BZN1" s="47"/>
      <c r="BZO1" s="47"/>
      <c r="BZP1" s="47"/>
      <c r="BZQ1" s="47"/>
      <c r="BZR1" s="47"/>
      <c r="BZS1" s="47"/>
      <c r="BZT1" s="47"/>
      <c r="BZU1" s="47"/>
      <c r="BZV1" s="47"/>
      <c r="BZW1" s="47"/>
      <c r="BZX1" s="47"/>
      <c r="BZY1" s="47"/>
      <c r="BZZ1" s="47"/>
      <c r="CAA1" s="47"/>
      <c r="CAB1" s="47"/>
      <c r="CAC1" s="47"/>
      <c r="CAD1" s="47"/>
      <c r="CAE1" s="47"/>
      <c r="CAF1" s="47"/>
      <c r="CAG1" s="47"/>
      <c r="CAH1" s="47"/>
      <c r="CAI1" s="47"/>
      <c r="CAJ1" s="47"/>
      <c r="CAK1" s="47"/>
      <c r="CAL1" s="47"/>
      <c r="CAM1" s="47"/>
      <c r="CAN1" s="47"/>
      <c r="CAO1" s="47"/>
      <c r="CAP1" s="47"/>
      <c r="CAQ1" s="47"/>
      <c r="CAR1" s="47"/>
      <c r="CAS1" s="47"/>
      <c r="CAT1" s="47"/>
      <c r="CAU1" s="47"/>
      <c r="CAV1" s="47"/>
      <c r="CAW1" s="47"/>
      <c r="CAX1" s="47"/>
      <c r="CAY1" s="47"/>
      <c r="CAZ1" s="47"/>
      <c r="CBA1" s="47"/>
      <c r="CBB1" s="47"/>
      <c r="CBC1" s="47"/>
      <c r="CBD1" s="47"/>
      <c r="CBE1" s="47"/>
      <c r="CBF1" s="47"/>
      <c r="CBG1" s="47"/>
      <c r="CBH1" s="47"/>
      <c r="CBI1" s="47"/>
      <c r="CBJ1" s="47"/>
      <c r="CBK1" s="47"/>
      <c r="CBL1" s="47"/>
      <c r="CBM1" s="47"/>
      <c r="CBN1" s="47"/>
      <c r="CBO1" s="47"/>
      <c r="CBP1" s="47"/>
      <c r="CBQ1" s="47"/>
      <c r="CBR1" s="47"/>
      <c r="CBS1" s="47"/>
      <c r="CBT1" s="47"/>
      <c r="CBU1" s="47"/>
      <c r="CBV1" s="47"/>
      <c r="CBW1" s="47"/>
      <c r="CBX1" s="47"/>
      <c r="CBY1" s="47"/>
      <c r="CBZ1" s="47"/>
      <c r="CCA1" s="47"/>
      <c r="CCB1" s="47"/>
      <c r="CCC1" s="47"/>
      <c r="CCD1" s="47"/>
      <c r="CCE1" s="47"/>
      <c r="CCF1" s="47"/>
      <c r="CCG1" s="47"/>
      <c r="CCH1" s="47"/>
      <c r="CCI1" s="47"/>
      <c r="CCJ1" s="47"/>
      <c r="CCK1" s="47"/>
      <c r="CCL1" s="47"/>
      <c r="CCM1" s="47"/>
      <c r="CCN1" s="47"/>
      <c r="CCO1" s="47"/>
      <c r="CCP1" s="47"/>
      <c r="CCQ1" s="47"/>
      <c r="CCR1" s="47"/>
      <c r="CCS1" s="47"/>
      <c r="CCT1" s="47"/>
      <c r="CCU1" s="47"/>
      <c r="CCV1" s="47"/>
      <c r="CCW1" s="47"/>
      <c r="CCX1" s="47"/>
      <c r="CCY1" s="47"/>
      <c r="CCZ1" s="47"/>
      <c r="CDA1" s="47"/>
      <c r="CDB1" s="47"/>
      <c r="CDC1" s="47"/>
      <c r="CDD1" s="47"/>
      <c r="CDE1" s="47"/>
      <c r="CDF1" s="47"/>
      <c r="CDG1" s="47"/>
      <c r="CDH1" s="47"/>
      <c r="CDI1" s="47"/>
      <c r="CDJ1" s="47"/>
      <c r="CDK1" s="47"/>
      <c r="CDL1" s="47"/>
      <c r="CDM1" s="47"/>
      <c r="CDN1" s="47"/>
      <c r="CDO1" s="47"/>
      <c r="CDP1" s="47"/>
      <c r="CDQ1" s="47"/>
      <c r="CDR1" s="47"/>
      <c r="CDS1" s="47"/>
      <c r="CDT1" s="47"/>
      <c r="CDU1" s="47"/>
      <c r="CDV1" s="47"/>
      <c r="CDW1" s="47"/>
      <c r="CDX1" s="47"/>
      <c r="CDY1" s="47"/>
      <c r="CDZ1" s="47"/>
      <c r="CEA1" s="47"/>
      <c r="CEB1" s="47"/>
      <c r="CEC1" s="47"/>
      <c r="CED1" s="47"/>
      <c r="CEE1" s="47"/>
      <c r="CEF1" s="47"/>
      <c r="CEG1" s="47"/>
      <c r="CEH1" s="47"/>
      <c r="CEI1" s="47"/>
      <c r="CEJ1" s="47"/>
      <c r="CEK1" s="47"/>
      <c r="CEL1" s="47"/>
      <c r="CEM1" s="47"/>
      <c r="CEN1" s="47"/>
      <c r="CEO1" s="47"/>
      <c r="CEP1" s="47"/>
      <c r="CEQ1" s="47"/>
      <c r="CER1" s="47"/>
      <c r="CES1" s="47"/>
      <c r="CET1" s="47"/>
      <c r="CEU1" s="47"/>
      <c r="CEV1" s="47"/>
      <c r="CEW1" s="47"/>
      <c r="CEX1" s="47"/>
      <c r="CEY1" s="47"/>
      <c r="CEZ1" s="47"/>
      <c r="CFA1" s="47"/>
      <c r="CFB1" s="47"/>
      <c r="CFC1" s="47"/>
      <c r="CFD1" s="47"/>
      <c r="CFE1" s="47"/>
      <c r="CFF1" s="47"/>
      <c r="CFG1" s="47"/>
      <c r="CFH1" s="47"/>
      <c r="CFI1" s="47"/>
      <c r="CFJ1" s="47"/>
      <c r="CFK1" s="47"/>
      <c r="CFL1" s="47"/>
      <c r="CFM1" s="47"/>
      <c r="CFN1" s="47"/>
      <c r="CFO1" s="47"/>
      <c r="CFP1" s="47"/>
      <c r="CFQ1" s="47"/>
      <c r="CFR1" s="47"/>
      <c r="CFS1" s="47"/>
      <c r="CFT1" s="47"/>
      <c r="CFU1" s="47"/>
      <c r="CFV1" s="47"/>
      <c r="CFW1" s="47"/>
      <c r="CFX1" s="47"/>
      <c r="CFY1" s="47"/>
      <c r="CFZ1" s="47"/>
      <c r="CGA1" s="47"/>
      <c r="CGB1" s="47"/>
      <c r="CGC1" s="47"/>
      <c r="CGD1" s="47"/>
      <c r="CGE1" s="47"/>
      <c r="CGF1" s="47"/>
      <c r="CGG1" s="47"/>
      <c r="CGH1" s="47"/>
      <c r="CGI1" s="47"/>
      <c r="CGJ1" s="47"/>
      <c r="CGK1" s="47"/>
      <c r="CGL1" s="47"/>
      <c r="CGM1" s="47"/>
      <c r="CGN1" s="47"/>
      <c r="CGO1" s="47"/>
      <c r="CGP1" s="47"/>
      <c r="CGQ1" s="47"/>
      <c r="CGR1" s="47"/>
      <c r="CGS1" s="47"/>
      <c r="CGT1" s="47"/>
      <c r="CGU1" s="47"/>
      <c r="CGV1" s="47"/>
      <c r="CGW1" s="47"/>
      <c r="CGX1" s="47"/>
      <c r="CGY1" s="47"/>
      <c r="CGZ1" s="47"/>
      <c r="CHA1" s="47"/>
      <c r="CHB1" s="47"/>
      <c r="CHC1" s="47"/>
      <c r="CHD1" s="47"/>
      <c r="CHE1" s="47"/>
      <c r="CHF1" s="47"/>
      <c r="CHG1" s="47"/>
      <c r="CHH1" s="47"/>
      <c r="CHI1" s="47"/>
      <c r="CHJ1" s="47"/>
      <c r="CHK1" s="47"/>
      <c r="CHL1" s="47"/>
      <c r="CHM1" s="47"/>
      <c r="CHN1" s="47"/>
      <c r="CHO1" s="47"/>
      <c r="CHP1" s="47"/>
      <c r="CHQ1" s="47"/>
      <c r="CHR1" s="47"/>
      <c r="CHS1" s="47"/>
      <c r="CHT1" s="47"/>
      <c r="CHU1" s="47"/>
      <c r="CHV1" s="47"/>
      <c r="CHW1" s="47"/>
      <c r="CHX1" s="47"/>
      <c r="CHY1" s="47"/>
      <c r="CHZ1" s="47"/>
      <c r="CIA1" s="47"/>
      <c r="CIB1" s="47"/>
      <c r="CIC1" s="47"/>
      <c r="CID1" s="47"/>
      <c r="CIE1" s="47"/>
      <c r="CIF1" s="47"/>
      <c r="CIG1" s="47"/>
      <c r="CIH1" s="47"/>
      <c r="CII1" s="47"/>
      <c r="CIJ1" s="47"/>
      <c r="CIK1" s="47"/>
      <c r="CIL1" s="47"/>
      <c r="CIM1" s="47"/>
      <c r="CIN1" s="47"/>
      <c r="CIO1" s="47"/>
      <c r="CIP1" s="47"/>
      <c r="CIQ1" s="47"/>
      <c r="CIR1" s="47"/>
      <c r="CIS1" s="47"/>
      <c r="CIT1" s="47"/>
      <c r="CIU1" s="47"/>
      <c r="CIV1" s="47"/>
      <c r="CIW1" s="47"/>
      <c r="CIX1" s="47"/>
      <c r="CIY1" s="47"/>
      <c r="CIZ1" s="47"/>
      <c r="CJA1" s="47"/>
      <c r="CJB1" s="47"/>
      <c r="CJC1" s="47"/>
      <c r="CJD1" s="47"/>
      <c r="CJE1" s="47"/>
      <c r="CJF1" s="47"/>
      <c r="CJG1" s="47"/>
      <c r="CJH1" s="47"/>
      <c r="CJI1" s="47"/>
      <c r="CJJ1" s="47"/>
      <c r="CJK1" s="47"/>
      <c r="CJL1" s="47"/>
      <c r="CJM1" s="47"/>
      <c r="CJN1" s="47"/>
      <c r="CJO1" s="47"/>
      <c r="CJP1" s="47"/>
      <c r="CJQ1" s="47"/>
      <c r="CJR1" s="47"/>
      <c r="CJS1" s="47"/>
      <c r="CJT1" s="47"/>
      <c r="CJU1" s="47"/>
      <c r="CJV1" s="47"/>
      <c r="CJW1" s="47"/>
      <c r="CJX1" s="47"/>
      <c r="CJY1" s="47"/>
      <c r="CJZ1" s="47"/>
      <c r="CKA1" s="47"/>
      <c r="CKB1" s="47"/>
      <c r="CKC1" s="47"/>
      <c r="CKD1" s="47"/>
      <c r="CKE1" s="47"/>
      <c r="CKF1" s="47"/>
      <c r="CKG1" s="47"/>
      <c r="CKH1" s="47"/>
      <c r="CKI1" s="47"/>
      <c r="CKJ1" s="47"/>
      <c r="CKK1" s="47"/>
      <c r="CKL1" s="47"/>
      <c r="CKM1" s="47"/>
      <c r="CKN1" s="47"/>
      <c r="CKO1" s="47"/>
      <c r="CKP1" s="47"/>
      <c r="CKQ1" s="47"/>
      <c r="CKR1" s="47"/>
      <c r="CKS1" s="47"/>
      <c r="CKT1" s="47"/>
      <c r="CKU1" s="47"/>
      <c r="CKV1" s="47"/>
      <c r="CKW1" s="47"/>
      <c r="CKX1" s="47"/>
      <c r="CKY1" s="47"/>
      <c r="CKZ1" s="47"/>
      <c r="CLA1" s="47"/>
      <c r="CLB1" s="47"/>
      <c r="CLC1" s="47"/>
      <c r="CLD1" s="47"/>
      <c r="CLE1" s="47"/>
      <c r="CLF1" s="47"/>
      <c r="CLG1" s="47"/>
      <c r="CLH1" s="47"/>
      <c r="CLI1" s="47"/>
      <c r="CLJ1" s="47"/>
      <c r="CLK1" s="47"/>
      <c r="CLL1" s="47"/>
      <c r="CLM1" s="47"/>
      <c r="CLN1" s="47"/>
      <c r="CLO1" s="47"/>
      <c r="CLP1" s="47"/>
      <c r="CLQ1" s="47"/>
      <c r="CLR1" s="47"/>
      <c r="CLS1" s="47"/>
      <c r="CLT1" s="47"/>
      <c r="CLU1" s="47"/>
      <c r="CLV1" s="47"/>
      <c r="CLW1" s="47"/>
      <c r="CLX1" s="47"/>
      <c r="CLY1" s="47"/>
      <c r="CLZ1" s="47"/>
      <c r="CMA1" s="47"/>
      <c r="CMB1" s="47"/>
      <c r="CMC1" s="47"/>
      <c r="CMD1" s="47"/>
      <c r="CME1" s="47"/>
      <c r="CMF1" s="47"/>
      <c r="CMG1" s="47"/>
      <c r="CMH1" s="47"/>
      <c r="CMI1" s="47"/>
      <c r="CMJ1" s="47"/>
      <c r="CMK1" s="47"/>
      <c r="CML1" s="47"/>
      <c r="CMM1" s="47"/>
      <c r="CMN1" s="47"/>
      <c r="CMO1" s="47"/>
      <c r="CMP1" s="47"/>
      <c r="CMQ1" s="47"/>
      <c r="CMR1" s="47"/>
      <c r="CMS1" s="47"/>
      <c r="CMT1" s="47"/>
      <c r="CMU1" s="47"/>
      <c r="CMV1" s="47"/>
      <c r="CMW1" s="47"/>
      <c r="CMX1" s="47"/>
      <c r="CMY1" s="47"/>
      <c r="CMZ1" s="47"/>
      <c r="CNA1" s="47"/>
      <c r="CNB1" s="47"/>
      <c r="CNC1" s="47"/>
      <c r="CND1" s="47"/>
      <c r="CNE1" s="47"/>
      <c r="CNF1" s="47"/>
      <c r="CNG1" s="47"/>
      <c r="CNH1" s="47"/>
      <c r="CNI1" s="47"/>
      <c r="CNJ1" s="47"/>
      <c r="CNK1" s="47"/>
      <c r="CNL1" s="47"/>
      <c r="CNM1" s="47"/>
      <c r="CNN1" s="47"/>
      <c r="CNO1" s="47"/>
      <c r="CNP1" s="47"/>
      <c r="CNQ1" s="47"/>
      <c r="CNR1" s="47"/>
      <c r="CNS1" s="47"/>
      <c r="CNT1" s="47"/>
      <c r="CNU1" s="47"/>
      <c r="CNV1" s="47"/>
      <c r="CNW1" s="47"/>
      <c r="CNX1" s="47"/>
      <c r="CNY1" s="47"/>
      <c r="CNZ1" s="47"/>
      <c r="COA1" s="47"/>
      <c r="COB1" s="47"/>
      <c r="COC1" s="47"/>
      <c r="COD1" s="47"/>
      <c r="COE1" s="47"/>
      <c r="COF1" s="47"/>
      <c r="COG1" s="47"/>
      <c r="COH1" s="47"/>
      <c r="COI1" s="47"/>
      <c r="COJ1" s="47"/>
      <c r="COK1" s="47"/>
      <c r="COL1" s="47"/>
      <c r="COM1" s="47"/>
      <c r="CON1" s="47"/>
      <c r="COO1" s="47"/>
      <c r="COP1" s="47"/>
      <c r="COQ1" s="47"/>
      <c r="COR1" s="47"/>
      <c r="COS1" s="47"/>
      <c r="COT1" s="47"/>
      <c r="COU1" s="47"/>
      <c r="COV1" s="47"/>
      <c r="COW1" s="47"/>
      <c r="COX1" s="47"/>
      <c r="COY1" s="47"/>
      <c r="COZ1" s="47"/>
      <c r="CPA1" s="47"/>
      <c r="CPB1" s="47"/>
      <c r="CPC1" s="47"/>
      <c r="CPD1" s="47"/>
      <c r="CPE1" s="47"/>
      <c r="CPF1" s="47"/>
      <c r="CPG1" s="47"/>
      <c r="CPH1" s="47"/>
      <c r="CPI1" s="47"/>
      <c r="CPJ1" s="47"/>
      <c r="CPK1" s="47"/>
      <c r="CPL1" s="47"/>
      <c r="CPM1" s="47"/>
      <c r="CPN1" s="47"/>
      <c r="CPO1" s="47"/>
      <c r="CPP1" s="47"/>
      <c r="CPQ1" s="47"/>
      <c r="CPR1" s="47"/>
      <c r="CPS1" s="47"/>
      <c r="CPT1" s="47"/>
      <c r="CPU1" s="47"/>
      <c r="CPV1" s="47"/>
      <c r="CPW1" s="47"/>
      <c r="CPX1" s="47"/>
      <c r="CPY1" s="47"/>
      <c r="CPZ1" s="47"/>
      <c r="CQA1" s="47"/>
      <c r="CQB1" s="47"/>
      <c r="CQC1" s="47"/>
      <c r="CQD1" s="47"/>
      <c r="CQE1" s="47"/>
      <c r="CQF1" s="47"/>
      <c r="CQG1" s="47"/>
      <c r="CQH1" s="47"/>
      <c r="CQI1" s="47"/>
      <c r="CQJ1" s="47"/>
      <c r="CQK1" s="47"/>
      <c r="CQL1" s="47"/>
      <c r="CQM1" s="47"/>
      <c r="CQN1" s="47"/>
      <c r="CQO1" s="47"/>
      <c r="CQP1" s="47"/>
      <c r="CQQ1" s="47"/>
      <c r="CQR1" s="47"/>
      <c r="CQS1" s="47"/>
      <c r="CQT1" s="47"/>
      <c r="CQU1" s="47"/>
      <c r="CQV1" s="47"/>
      <c r="CQW1" s="47"/>
      <c r="CQX1" s="47"/>
      <c r="CQY1" s="47"/>
      <c r="CQZ1" s="47"/>
      <c r="CRA1" s="47"/>
      <c r="CRB1" s="47"/>
      <c r="CRC1" s="47"/>
      <c r="CRD1" s="47"/>
      <c r="CRE1" s="47"/>
      <c r="CRF1" s="47"/>
      <c r="CRG1" s="47"/>
      <c r="CRH1" s="47"/>
      <c r="CRI1" s="47"/>
      <c r="CRJ1" s="47"/>
      <c r="CRK1" s="47"/>
      <c r="CRL1" s="47"/>
      <c r="CRM1" s="47"/>
      <c r="CRN1" s="47"/>
      <c r="CRO1" s="47"/>
      <c r="CRP1" s="47"/>
      <c r="CRQ1" s="47"/>
      <c r="CRR1" s="47"/>
      <c r="CRS1" s="47"/>
      <c r="CRT1" s="47"/>
      <c r="CRU1" s="47"/>
      <c r="CRV1" s="47"/>
      <c r="CRW1" s="47"/>
      <c r="CRX1" s="47"/>
      <c r="CRY1" s="47"/>
      <c r="CRZ1" s="47"/>
      <c r="CSA1" s="47"/>
      <c r="CSB1" s="47"/>
      <c r="CSC1" s="47"/>
      <c r="CSD1" s="47"/>
      <c r="CSE1" s="47"/>
      <c r="CSF1" s="47"/>
      <c r="CSG1" s="47"/>
      <c r="CSH1" s="47"/>
      <c r="CSI1" s="47"/>
      <c r="CSJ1" s="47"/>
      <c r="CSK1" s="47"/>
      <c r="CSL1" s="47"/>
      <c r="CSM1" s="47"/>
      <c r="CSN1" s="47"/>
      <c r="CSO1" s="47"/>
      <c r="CSP1" s="47"/>
      <c r="CSQ1" s="47"/>
      <c r="CSR1" s="47"/>
      <c r="CSS1" s="47"/>
      <c r="CST1" s="47"/>
      <c r="CSU1" s="47"/>
      <c r="CSV1" s="47"/>
      <c r="CSW1" s="47"/>
      <c r="CSX1" s="47"/>
      <c r="CSY1" s="47"/>
      <c r="CSZ1" s="47"/>
      <c r="CTA1" s="47"/>
      <c r="CTB1" s="47"/>
      <c r="CTC1" s="47"/>
      <c r="CTD1" s="47"/>
      <c r="CTE1" s="47"/>
      <c r="CTF1" s="47"/>
      <c r="CTG1" s="47"/>
      <c r="CTH1" s="47"/>
      <c r="CTI1" s="47"/>
      <c r="CTJ1" s="47"/>
      <c r="CTK1" s="47"/>
      <c r="CTL1" s="47"/>
      <c r="CTM1" s="47"/>
      <c r="CTN1" s="47"/>
      <c r="CTO1" s="47"/>
      <c r="CTP1" s="47"/>
      <c r="CTQ1" s="47"/>
      <c r="CTR1" s="47"/>
      <c r="CTS1" s="47"/>
      <c r="CTT1" s="47"/>
      <c r="CTU1" s="47"/>
      <c r="CTV1" s="47"/>
      <c r="CTW1" s="47"/>
      <c r="CTX1" s="47"/>
      <c r="CTY1" s="47"/>
      <c r="CTZ1" s="47"/>
      <c r="CUA1" s="47"/>
      <c r="CUB1" s="47"/>
      <c r="CUC1" s="47"/>
      <c r="CUD1" s="47"/>
      <c r="CUE1" s="47"/>
      <c r="CUF1" s="47"/>
      <c r="CUG1" s="47"/>
      <c r="CUH1" s="47"/>
      <c r="CUI1" s="47"/>
      <c r="CUJ1" s="47"/>
      <c r="CUK1" s="47"/>
      <c r="CUL1" s="47"/>
      <c r="CUM1" s="47"/>
      <c r="CUN1" s="47"/>
      <c r="CUO1" s="47"/>
      <c r="CUP1" s="47"/>
      <c r="CUQ1" s="47"/>
      <c r="CUR1" s="47"/>
      <c r="CUS1" s="47"/>
      <c r="CUT1" s="47"/>
      <c r="CUU1" s="47"/>
      <c r="CUV1" s="47"/>
      <c r="CUW1" s="47"/>
      <c r="CUX1" s="47"/>
      <c r="CUY1" s="47"/>
      <c r="CUZ1" s="47"/>
      <c r="CVA1" s="47"/>
      <c r="CVB1" s="47"/>
      <c r="CVC1" s="47"/>
      <c r="CVD1" s="47"/>
      <c r="CVE1" s="47"/>
      <c r="CVF1" s="47"/>
      <c r="CVG1" s="47"/>
      <c r="CVH1" s="47"/>
      <c r="CVI1" s="47"/>
      <c r="CVJ1" s="47"/>
      <c r="CVK1" s="47"/>
      <c r="CVL1" s="47"/>
      <c r="CVM1" s="47"/>
      <c r="CVN1" s="47"/>
      <c r="CVO1" s="47"/>
      <c r="CVP1" s="47"/>
      <c r="CVQ1" s="47"/>
      <c r="CVR1" s="47"/>
      <c r="CVS1" s="47"/>
      <c r="CVT1" s="47"/>
      <c r="CVU1" s="47"/>
      <c r="CVV1" s="47"/>
      <c r="CVW1" s="47"/>
      <c r="CVX1" s="47"/>
      <c r="CVY1" s="47"/>
      <c r="CVZ1" s="47"/>
      <c r="CWA1" s="47"/>
      <c r="CWB1" s="47"/>
      <c r="CWC1" s="47"/>
      <c r="CWD1" s="47"/>
      <c r="CWE1" s="47"/>
      <c r="CWF1" s="47"/>
      <c r="CWG1" s="47"/>
      <c r="CWH1" s="47"/>
      <c r="CWI1" s="47"/>
      <c r="CWJ1" s="47"/>
      <c r="CWK1" s="47"/>
      <c r="CWL1" s="47"/>
      <c r="CWM1" s="47"/>
      <c r="CWN1" s="47"/>
      <c r="CWO1" s="47"/>
      <c r="CWP1" s="47"/>
      <c r="CWQ1" s="47"/>
      <c r="CWR1" s="47"/>
      <c r="CWS1" s="47"/>
      <c r="CWT1" s="47"/>
      <c r="CWU1" s="47"/>
      <c r="CWV1" s="47"/>
      <c r="CWW1" s="47"/>
      <c r="CWX1" s="47"/>
      <c r="CWY1" s="47"/>
      <c r="CWZ1" s="47"/>
      <c r="CXA1" s="47"/>
      <c r="CXB1" s="47"/>
      <c r="CXC1" s="47"/>
      <c r="CXD1" s="47"/>
      <c r="CXE1" s="47"/>
      <c r="CXF1" s="47"/>
      <c r="CXG1" s="47"/>
      <c r="CXH1" s="47"/>
      <c r="CXI1" s="47"/>
      <c r="CXJ1" s="47"/>
      <c r="CXK1" s="47"/>
      <c r="CXL1" s="47"/>
      <c r="CXM1" s="47"/>
      <c r="CXN1" s="47"/>
      <c r="CXO1" s="47"/>
      <c r="CXP1" s="47"/>
      <c r="CXQ1" s="47"/>
      <c r="CXR1" s="47"/>
      <c r="CXS1" s="47"/>
      <c r="CXT1" s="47"/>
      <c r="CXU1" s="47"/>
      <c r="CXV1" s="47"/>
      <c r="CXW1" s="47"/>
      <c r="CXX1" s="47"/>
      <c r="CXY1" s="47"/>
      <c r="CXZ1" s="47"/>
      <c r="CYA1" s="47"/>
      <c r="CYB1" s="47"/>
      <c r="CYC1" s="47"/>
      <c r="CYD1" s="47"/>
      <c r="CYE1" s="47"/>
      <c r="CYF1" s="47"/>
      <c r="CYG1" s="47"/>
      <c r="CYH1" s="47"/>
      <c r="CYI1" s="47"/>
      <c r="CYJ1" s="47"/>
      <c r="CYK1" s="47"/>
      <c r="CYL1" s="47"/>
      <c r="CYM1" s="47"/>
      <c r="CYN1" s="47"/>
      <c r="CYO1" s="47"/>
      <c r="CYP1" s="47"/>
      <c r="CYQ1" s="47"/>
      <c r="CYR1" s="47"/>
      <c r="CYS1" s="47"/>
      <c r="CYT1" s="47"/>
      <c r="CYU1" s="47"/>
      <c r="CYV1" s="47"/>
      <c r="CYW1" s="47"/>
      <c r="CYX1" s="47"/>
      <c r="CYY1" s="47"/>
      <c r="CYZ1" s="47"/>
      <c r="CZA1" s="47"/>
      <c r="CZB1" s="47"/>
      <c r="CZC1" s="47"/>
      <c r="CZD1" s="47"/>
      <c r="CZE1" s="47"/>
      <c r="CZF1" s="47"/>
      <c r="CZG1" s="47"/>
      <c r="CZH1" s="47"/>
      <c r="CZI1" s="47"/>
      <c r="CZJ1" s="47"/>
      <c r="CZK1" s="47"/>
      <c r="CZL1" s="47"/>
      <c r="CZM1" s="47"/>
      <c r="CZN1" s="47"/>
      <c r="CZO1" s="47"/>
      <c r="CZP1" s="47"/>
      <c r="CZQ1" s="47"/>
      <c r="CZR1" s="47"/>
      <c r="CZS1" s="47"/>
      <c r="CZT1" s="47"/>
      <c r="CZU1" s="47"/>
      <c r="CZV1" s="47"/>
      <c r="CZW1" s="47"/>
      <c r="CZX1" s="47"/>
      <c r="CZY1" s="47"/>
      <c r="CZZ1" s="47"/>
      <c r="DAA1" s="47"/>
      <c r="DAB1" s="47"/>
      <c r="DAC1" s="47"/>
      <c r="DAD1" s="47"/>
      <c r="DAE1" s="47"/>
      <c r="DAF1" s="47"/>
      <c r="DAG1" s="47"/>
      <c r="DAH1" s="47"/>
      <c r="DAI1" s="47"/>
      <c r="DAJ1" s="47"/>
      <c r="DAK1" s="47"/>
      <c r="DAL1" s="47"/>
      <c r="DAM1" s="47"/>
      <c r="DAN1" s="47"/>
      <c r="DAO1" s="47"/>
      <c r="DAP1" s="47"/>
      <c r="DAQ1" s="47"/>
      <c r="DAR1" s="47"/>
      <c r="DAS1" s="47"/>
      <c r="DAT1" s="47"/>
      <c r="DAU1" s="47"/>
      <c r="DAV1" s="47"/>
      <c r="DAW1" s="47"/>
      <c r="DAX1" s="47"/>
      <c r="DAY1" s="47"/>
      <c r="DAZ1" s="47"/>
      <c r="DBA1" s="47"/>
      <c r="DBB1" s="47"/>
      <c r="DBC1" s="47"/>
      <c r="DBD1" s="47"/>
      <c r="DBE1" s="47"/>
      <c r="DBF1" s="47"/>
      <c r="DBG1" s="47"/>
      <c r="DBH1" s="47"/>
      <c r="DBI1" s="47"/>
      <c r="DBJ1" s="47"/>
      <c r="DBK1" s="47"/>
      <c r="DBL1" s="47"/>
      <c r="DBM1" s="47"/>
      <c r="DBN1" s="47"/>
      <c r="DBO1" s="47"/>
      <c r="DBP1" s="47"/>
      <c r="DBQ1" s="47"/>
      <c r="DBR1" s="47"/>
      <c r="DBS1" s="47"/>
      <c r="DBT1" s="47"/>
      <c r="DBU1" s="47"/>
      <c r="DBV1" s="47"/>
      <c r="DBW1" s="47"/>
      <c r="DBX1" s="47"/>
      <c r="DBY1" s="47"/>
      <c r="DBZ1" s="47"/>
      <c r="DCA1" s="47"/>
      <c r="DCB1" s="47"/>
      <c r="DCC1" s="47"/>
      <c r="DCD1" s="47"/>
      <c r="DCE1" s="47"/>
      <c r="DCF1" s="47"/>
      <c r="DCG1" s="47"/>
      <c r="DCH1" s="47"/>
      <c r="DCI1" s="47"/>
      <c r="DCJ1" s="47"/>
      <c r="DCK1" s="47"/>
      <c r="DCL1" s="47"/>
      <c r="DCM1" s="47"/>
      <c r="DCN1" s="47"/>
      <c r="DCO1" s="47"/>
      <c r="DCP1" s="47"/>
      <c r="DCQ1" s="47"/>
      <c r="DCR1" s="47"/>
      <c r="DCS1" s="47"/>
      <c r="DCT1" s="47"/>
      <c r="DCU1" s="47"/>
      <c r="DCV1" s="47"/>
      <c r="DCW1" s="47"/>
      <c r="DCX1" s="47"/>
      <c r="DCY1" s="47"/>
      <c r="DCZ1" s="47"/>
      <c r="DDA1" s="47"/>
      <c r="DDB1" s="47"/>
      <c r="DDC1" s="47"/>
      <c r="DDD1" s="47"/>
      <c r="DDE1" s="47"/>
      <c r="DDF1" s="47"/>
      <c r="DDG1" s="47"/>
      <c r="DDH1" s="47"/>
      <c r="DDI1" s="47"/>
      <c r="DDJ1" s="47"/>
      <c r="DDK1" s="47"/>
      <c r="DDL1" s="47"/>
      <c r="DDM1" s="47"/>
      <c r="DDN1" s="47"/>
      <c r="DDO1" s="47"/>
      <c r="DDP1" s="47"/>
      <c r="DDQ1" s="47"/>
      <c r="DDR1" s="47"/>
      <c r="DDS1" s="47"/>
      <c r="DDT1" s="47"/>
      <c r="DDU1" s="47"/>
      <c r="DDV1" s="47"/>
      <c r="DDW1" s="47"/>
      <c r="DDX1" s="47"/>
      <c r="DDY1" s="47"/>
      <c r="DDZ1" s="47"/>
      <c r="DEA1" s="47"/>
      <c r="DEB1" s="47"/>
      <c r="DEC1" s="47"/>
      <c r="DED1" s="47"/>
      <c r="DEE1" s="47"/>
      <c r="DEF1" s="47"/>
      <c r="DEG1" s="47"/>
      <c r="DEH1" s="47"/>
      <c r="DEI1" s="47"/>
      <c r="DEJ1" s="47"/>
      <c r="DEK1" s="47"/>
      <c r="DEL1" s="47"/>
      <c r="DEM1" s="47"/>
      <c r="DEN1" s="47"/>
      <c r="DEO1" s="47"/>
      <c r="DEP1" s="47"/>
      <c r="DEQ1" s="47"/>
      <c r="DER1" s="47"/>
      <c r="DES1" s="47"/>
      <c r="DET1" s="47"/>
      <c r="DEU1" s="47"/>
      <c r="DEV1" s="47"/>
      <c r="DEW1" s="47"/>
      <c r="DEX1" s="47"/>
      <c r="DEY1" s="47"/>
      <c r="DEZ1" s="47"/>
      <c r="DFA1" s="47"/>
      <c r="DFB1" s="47"/>
      <c r="DFC1" s="47"/>
      <c r="DFD1" s="47"/>
      <c r="DFE1" s="47"/>
      <c r="DFF1" s="47"/>
      <c r="DFG1" s="47"/>
      <c r="DFH1" s="47"/>
      <c r="DFI1" s="47"/>
      <c r="DFJ1" s="47"/>
      <c r="DFK1" s="47"/>
      <c r="DFL1" s="47"/>
      <c r="DFM1" s="47"/>
      <c r="DFN1" s="47"/>
      <c r="DFO1" s="47"/>
      <c r="DFP1" s="47"/>
      <c r="DFQ1" s="47"/>
      <c r="DFR1" s="47"/>
      <c r="DFS1" s="47"/>
      <c r="DFT1" s="47"/>
      <c r="DFU1" s="47"/>
      <c r="DFV1" s="47"/>
      <c r="DFW1" s="47"/>
      <c r="DFX1" s="47"/>
      <c r="DFY1" s="47"/>
      <c r="DFZ1" s="47"/>
      <c r="DGA1" s="47"/>
      <c r="DGB1" s="47"/>
      <c r="DGC1" s="47"/>
      <c r="DGD1" s="47"/>
      <c r="DGE1" s="47"/>
      <c r="DGF1" s="47"/>
      <c r="DGG1" s="47"/>
      <c r="DGH1" s="47"/>
      <c r="DGI1" s="47"/>
      <c r="DGJ1" s="47"/>
      <c r="DGK1" s="47"/>
      <c r="DGL1" s="47"/>
      <c r="DGM1" s="47"/>
      <c r="DGN1" s="47"/>
      <c r="DGO1" s="47"/>
      <c r="DGP1" s="47"/>
      <c r="DGQ1" s="47"/>
      <c r="DGR1" s="47"/>
      <c r="DGS1" s="47"/>
      <c r="DGT1" s="47"/>
      <c r="DGU1" s="47"/>
      <c r="DGV1" s="47"/>
      <c r="DGW1" s="47"/>
      <c r="DGX1" s="47"/>
      <c r="DGY1" s="47"/>
      <c r="DGZ1" s="47"/>
      <c r="DHA1" s="47"/>
      <c r="DHB1" s="47"/>
      <c r="DHC1" s="47"/>
      <c r="DHD1" s="47"/>
      <c r="DHE1" s="47"/>
      <c r="DHF1" s="47"/>
      <c r="DHG1" s="47"/>
      <c r="DHH1" s="47"/>
      <c r="DHI1" s="47"/>
      <c r="DHJ1" s="47"/>
      <c r="DHK1" s="47"/>
      <c r="DHL1" s="47"/>
      <c r="DHM1" s="47"/>
      <c r="DHN1" s="47"/>
      <c r="DHO1" s="47"/>
      <c r="DHP1" s="47"/>
      <c r="DHQ1" s="47"/>
      <c r="DHR1" s="47"/>
      <c r="DHS1" s="47"/>
      <c r="DHT1" s="47"/>
      <c r="DHU1" s="47"/>
      <c r="DHV1" s="47"/>
      <c r="DHW1" s="47"/>
      <c r="DHX1" s="47"/>
      <c r="DHY1" s="47"/>
      <c r="DHZ1" s="47"/>
      <c r="DIA1" s="47"/>
      <c r="DIB1" s="47"/>
      <c r="DIC1" s="47"/>
      <c r="DID1" s="47"/>
      <c r="DIE1" s="47"/>
      <c r="DIF1" s="47"/>
      <c r="DIG1" s="47"/>
      <c r="DIH1" s="47"/>
      <c r="DII1" s="47"/>
      <c r="DIJ1" s="47"/>
      <c r="DIK1" s="47"/>
      <c r="DIL1" s="47"/>
      <c r="DIM1" s="47"/>
      <c r="DIN1" s="47"/>
      <c r="DIO1" s="47"/>
      <c r="DIP1" s="47"/>
      <c r="DIQ1" s="47"/>
      <c r="DIR1" s="47"/>
      <c r="DIS1" s="47"/>
      <c r="DIT1" s="47"/>
      <c r="DIU1" s="47"/>
      <c r="DIV1" s="47"/>
      <c r="DIW1" s="47"/>
      <c r="DIX1" s="47"/>
      <c r="DIY1" s="47"/>
      <c r="DIZ1" s="47"/>
      <c r="DJA1" s="47"/>
      <c r="DJB1" s="47"/>
      <c r="DJC1" s="47"/>
      <c r="DJD1" s="47"/>
      <c r="DJE1" s="47"/>
      <c r="DJF1" s="47"/>
      <c r="DJG1" s="47"/>
      <c r="DJH1" s="47"/>
      <c r="DJI1" s="47"/>
      <c r="DJJ1" s="47"/>
      <c r="DJK1" s="47"/>
      <c r="DJL1" s="47"/>
      <c r="DJM1" s="47"/>
      <c r="DJN1" s="47"/>
      <c r="DJO1" s="47"/>
      <c r="DJP1" s="47"/>
      <c r="DJQ1" s="47"/>
      <c r="DJR1" s="47"/>
      <c r="DJS1" s="47"/>
      <c r="DJT1" s="47"/>
      <c r="DJU1" s="47"/>
      <c r="DJV1" s="47"/>
      <c r="DJW1" s="47"/>
      <c r="DJX1" s="47"/>
      <c r="DJY1" s="47"/>
      <c r="DJZ1" s="47"/>
      <c r="DKA1" s="47"/>
      <c r="DKB1" s="47"/>
      <c r="DKC1" s="47"/>
      <c r="DKD1" s="47"/>
      <c r="DKE1" s="47"/>
      <c r="DKF1" s="47"/>
      <c r="DKG1" s="47"/>
      <c r="DKH1" s="47"/>
      <c r="DKI1" s="47"/>
      <c r="DKJ1" s="47"/>
      <c r="DKK1" s="47"/>
      <c r="DKL1" s="47"/>
      <c r="DKM1" s="47"/>
      <c r="DKN1" s="47"/>
      <c r="DKO1" s="47"/>
      <c r="DKP1" s="47"/>
      <c r="DKQ1" s="47"/>
      <c r="DKR1" s="47"/>
      <c r="DKS1" s="47"/>
      <c r="DKT1" s="47"/>
      <c r="DKU1" s="47"/>
      <c r="DKV1" s="47"/>
      <c r="DKW1" s="47"/>
      <c r="DKX1" s="47"/>
      <c r="DKY1" s="47"/>
      <c r="DKZ1" s="47"/>
      <c r="DLA1" s="47"/>
      <c r="DLB1" s="47"/>
      <c r="DLC1" s="47"/>
      <c r="DLD1" s="47"/>
      <c r="DLE1" s="47"/>
      <c r="DLF1" s="47"/>
      <c r="DLG1" s="47"/>
      <c r="DLH1" s="47"/>
      <c r="DLI1" s="47"/>
      <c r="DLJ1" s="47"/>
      <c r="DLK1" s="47"/>
      <c r="DLL1" s="47"/>
      <c r="DLM1" s="47"/>
      <c r="DLN1" s="47"/>
      <c r="DLO1" s="47"/>
      <c r="DLP1" s="47"/>
      <c r="DLQ1" s="47"/>
      <c r="DLR1" s="47"/>
      <c r="DLS1" s="47"/>
      <c r="DLT1" s="47"/>
      <c r="DLU1" s="47"/>
      <c r="DLV1" s="47"/>
      <c r="DLW1" s="47"/>
      <c r="DLX1" s="47"/>
      <c r="DLY1" s="47"/>
      <c r="DLZ1" s="47"/>
      <c r="DMA1" s="47"/>
      <c r="DMB1" s="47"/>
      <c r="DMC1" s="47"/>
      <c r="DMD1" s="47"/>
      <c r="DME1" s="47"/>
      <c r="DMF1" s="47"/>
      <c r="DMG1" s="47"/>
      <c r="DMH1" s="47"/>
      <c r="DMI1" s="47"/>
      <c r="DMJ1" s="47"/>
      <c r="DMK1" s="47"/>
      <c r="DML1" s="47"/>
      <c r="DMM1" s="47"/>
      <c r="DMN1" s="47"/>
      <c r="DMO1" s="47"/>
      <c r="DMP1" s="47"/>
      <c r="DMQ1" s="47"/>
      <c r="DMR1" s="47"/>
      <c r="DMS1" s="47"/>
      <c r="DMT1" s="47"/>
      <c r="DMU1" s="47"/>
      <c r="DMV1" s="47"/>
      <c r="DMW1" s="47"/>
      <c r="DMX1" s="47"/>
      <c r="DMY1" s="47"/>
      <c r="DMZ1" s="47"/>
      <c r="DNA1" s="47"/>
      <c r="DNB1" s="47"/>
      <c r="DNC1" s="47"/>
      <c r="DND1" s="47"/>
      <c r="DNE1" s="47"/>
      <c r="DNF1" s="47"/>
      <c r="DNG1" s="47"/>
      <c r="DNH1" s="47"/>
      <c r="DNI1" s="47"/>
      <c r="DNJ1" s="47"/>
      <c r="DNK1" s="47"/>
      <c r="DNL1" s="47"/>
      <c r="DNM1" s="47"/>
      <c r="DNN1" s="47"/>
      <c r="DNO1" s="47"/>
      <c r="DNP1" s="47"/>
      <c r="DNQ1" s="47"/>
      <c r="DNR1" s="47"/>
      <c r="DNS1" s="47"/>
      <c r="DNT1" s="47"/>
      <c r="DNU1" s="47"/>
      <c r="DNV1" s="47"/>
      <c r="DNW1" s="47"/>
      <c r="DNX1" s="47"/>
      <c r="DNY1" s="47"/>
      <c r="DNZ1" s="47"/>
      <c r="DOA1" s="47"/>
      <c r="DOB1" s="47"/>
      <c r="DOC1" s="47"/>
      <c r="DOD1" s="47"/>
      <c r="DOE1" s="47"/>
      <c r="DOF1" s="47"/>
      <c r="DOG1" s="47"/>
      <c r="DOH1" s="47"/>
      <c r="DOI1" s="47"/>
      <c r="DOJ1" s="47"/>
      <c r="DOK1" s="47"/>
      <c r="DOL1" s="47"/>
      <c r="DOM1" s="47"/>
      <c r="DON1" s="47"/>
      <c r="DOO1" s="47"/>
      <c r="DOP1" s="47"/>
      <c r="DOQ1" s="47"/>
      <c r="DOR1" s="47"/>
      <c r="DOS1" s="47"/>
      <c r="DOT1" s="47"/>
      <c r="DOU1" s="47"/>
      <c r="DOV1" s="47"/>
      <c r="DOW1" s="47"/>
      <c r="DOX1" s="47"/>
      <c r="DOY1" s="47"/>
      <c r="DOZ1" s="47"/>
      <c r="DPA1" s="47"/>
      <c r="DPB1" s="47"/>
      <c r="DPC1" s="47"/>
      <c r="DPD1" s="47"/>
      <c r="DPE1" s="47"/>
      <c r="DPF1" s="47"/>
      <c r="DPG1" s="47"/>
      <c r="DPH1" s="47"/>
      <c r="DPI1" s="47"/>
      <c r="DPJ1" s="47"/>
      <c r="DPK1" s="47"/>
      <c r="DPL1" s="47"/>
      <c r="DPM1" s="47"/>
      <c r="DPN1" s="47"/>
      <c r="DPO1" s="47"/>
      <c r="DPP1" s="47"/>
      <c r="DPQ1" s="47"/>
      <c r="DPR1" s="47"/>
      <c r="DPS1" s="47"/>
      <c r="DPT1" s="47"/>
      <c r="DPU1" s="47"/>
      <c r="DPV1" s="47"/>
      <c r="DPW1" s="47"/>
      <c r="DPX1" s="47"/>
      <c r="DPY1" s="47"/>
      <c r="DPZ1" s="47"/>
      <c r="DQA1" s="47"/>
      <c r="DQB1" s="47"/>
      <c r="DQC1" s="47"/>
      <c r="DQD1" s="47"/>
      <c r="DQE1" s="47"/>
      <c r="DQF1" s="47"/>
      <c r="DQG1" s="47"/>
      <c r="DQH1" s="47"/>
      <c r="DQI1" s="47"/>
      <c r="DQJ1" s="47"/>
      <c r="DQK1" s="47"/>
      <c r="DQL1" s="47"/>
      <c r="DQM1" s="47"/>
      <c r="DQN1" s="47"/>
      <c r="DQO1" s="47"/>
      <c r="DQP1" s="47"/>
      <c r="DQQ1" s="47"/>
      <c r="DQR1" s="47"/>
      <c r="DQS1" s="47"/>
      <c r="DQT1" s="47"/>
      <c r="DQU1" s="47"/>
      <c r="DQV1" s="47"/>
      <c r="DQW1" s="47"/>
      <c r="DQX1" s="47"/>
      <c r="DQY1" s="47"/>
      <c r="DQZ1" s="47"/>
      <c r="DRA1" s="47"/>
      <c r="DRB1" s="47"/>
      <c r="DRC1" s="47"/>
      <c r="DRD1" s="47"/>
      <c r="DRE1" s="47"/>
      <c r="DRF1" s="47"/>
      <c r="DRG1" s="47"/>
      <c r="DRH1" s="47"/>
      <c r="DRI1" s="47"/>
      <c r="DRJ1" s="47"/>
      <c r="DRK1" s="47"/>
      <c r="DRL1" s="47"/>
      <c r="DRM1" s="47"/>
      <c r="DRN1" s="47"/>
      <c r="DRO1" s="47"/>
      <c r="DRP1" s="47"/>
      <c r="DRQ1" s="47"/>
      <c r="DRR1" s="47"/>
      <c r="DRS1" s="47"/>
      <c r="DRT1" s="47"/>
      <c r="DRU1" s="47"/>
      <c r="DRV1" s="47"/>
      <c r="DRW1" s="47"/>
      <c r="DRX1" s="47"/>
      <c r="DRY1" s="47"/>
      <c r="DRZ1" s="47"/>
      <c r="DSA1" s="47"/>
      <c r="DSB1" s="47"/>
      <c r="DSC1" s="47"/>
      <c r="DSD1" s="47"/>
      <c r="DSE1" s="47"/>
      <c r="DSF1" s="47"/>
      <c r="DSG1" s="47"/>
      <c r="DSH1" s="47"/>
      <c r="DSI1" s="47"/>
      <c r="DSJ1" s="47"/>
      <c r="DSK1" s="47"/>
      <c r="DSL1" s="47"/>
      <c r="DSM1" s="47"/>
      <c r="DSN1" s="47"/>
      <c r="DSO1" s="47"/>
      <c r="DSP1" s="47"/>
      <c r="DSQ1" s="47"/>
      <c r="DSR1" s="47"/>
      <c r="DSS1" s="47"/>
      <c r="DST1" s="47"/>
      <c r="DSU1" s="47"/>
      <c r="DSV1" s="47"/>
      <c r="DSW1" s="47"/>
      <c r="DSX1" s="47"/>
      <c r="DSY1" s="47"/>
      <c r="DSZ1" s="47"/>
      <c r="DTA1" s="47"/>
      <c r="DTB1" s="47"/>
      <c r="DTC1" s="47"/>
      <c r="DTD1" s="47"/>
      <c r="DTE1" s="47"/>
      <c r="DTF1" s="47"/>
      <c r="DTG1" s="47"/>
      <c r="DTH1" s="47"/>
      <c r="DTI1" s="47"/>
      <c r="DTJ1" s="47"/>
      <c r="DTK1" s="47"/>
      <c r="DTL1" s="47"/>
      <c r="DTM1" s="47"/>
      <c r="DTN1" s="47"/>
      <c r="DTO1" s="47"/>
      <c r="DTP1" s="47"/>
      <c r="DTQ1" s="47"/>
      <c r="DTR1" s="47"/>
      <c r="DTS1" s="47"/>
      <c r="DTT1" s="47"/>
      <c r="DTU1" s="47"/>
      <c r="DTV1" s="47"/>
      <c r="DTW1" s="47"/>
      <c r="DTX1" s="47"/>
      <c r="DTY1" s="47"/>
      <c r="DTZ1" s="47"/>
      <c r="DUA1" s="47"/>
      <c r="DUB1" s="47"/>
      <c r="DUC1" s="47"/>
      <c r="DUD1" s="47"/>
      <c r="DUE1" s="47"/>
      <c r="DUF1" s="47"/>
      <c r="DUG1" s="47"/>
      <c r="DUH1" s="47"/>
      <c r="DUI1" s="47"/>
      <c r="DUJ1" s="47"/>
      <c r="DUK1" s="47"/>
      <c r="DUL1" s="47"/>
      <c r="DUM1" s="47"/>
      <c r="DUN1" s="47"/>
      <c r="DUO1" s="47"/>
      <c r="DUP1" s="47"/>
      <c r="DUQ1" s="47"/>
      <c r="DUR1" s="47"/>
      <c r="DUS1" s="47"/>
      <c r="DUT1" s="47"/>
      <c r="DUU1" s="47"/>
      <c r="DUV1" s="47"/>
      <c r="DUW1" s="47"/>
      <c r="DUX1" s="47"/>
      <c r="DUY1" s="47"/>
      <c r="DUZ1" s="47"/>
      <c r="DVA1" s="47"/>
      <c r="DVB1" s="47"/>
      <c r="DVC1" s="47"/>
      <c r="DVD1" s="47"/>
      <c r="DVE1" s="47"/>
      <c r="DVF1" s="47"/>
      <c r="DVG1" s="47"/>
      <c r="DVH1" s="47"/>
      <c r="DVI1" s="47"/>
      <c r="DVJ1" s="47"/>
      <c r="DVK1" s="47"/>
      <c r="DVL1" s="47"/>
      <c r="DVM1" s="47"/>
      <c r="DVN1" s="47"/>
      <c r="DVO1" s="47"/>
      <c r="DVP1" s="47"/>
      <c r="DVQ1" s="47"/>
      <c r="DVR1" s="47"/>
      <c r="DVS1" s="47"/>
      <c r="DVT1" s="47"/>
      <c r="DVU1" s="47"/>
      <c r="DVV1" s="47"/>
      <c r="DVW1" s="47"/>
      <c r="DVX1" s="47"/>
      <c r="DVY1" s="47"/>
      <c r="DVZ1" s="47"/>
      <c r="DWA1" s="47"/>
      <c r="DWB1" s="47"/>
      <c r="DWC1" s="47"/>
      <c r="DWD1" s="47"/>
      <c r="DWE1" s="47"/>
      <c r="DWF1" s="47"/>
      <c r="DWG1" s="47"/>
      <c r="DWH1" s="47"/>
      <c r="DWI1" s="47"/>
      <c r="DWJ1" s="47"/>
      <c r="DWK1" s="47"/>
      <c r="DWL1" s="47"/>
      <c r="DWM1" s="47"/>
      <c r="DWN1" s="47"/>
      <c r="DWO1" s="47"/>
      <c r="DWP1" s="47"/>
      <c r="DWQ1" s="47"/>
      <c r="DWR1" s="47"/>
      <c r="DWS1" s="47"/>
      <c r="DWT1" s="47"/>
      <c r="DWU1" s="47"/>
      <c r="DWV1" s="47"/>
      <c r="DWW1" s="47"/>
      <c r="DWX1" s="47"/>
      <c r="DWY1" s="47"/>
      <c r="DWZ1" s="47"/>
      <c r="DXA1" s="47"/>
      <c r="DXB1" s="47"/>
      <c r="DXC1" s="47"/>
      <c r="DXD1" s="47"/>
      <c r="DXE1" s="47"/>
      <c r="DXF1" s="47"/>
      <c r="DXG1" s="47"/>
      <c r="DXH1" s="47"/>
      <c r="DXI1" s="47"/>
      <c r="DXJ1" s="47"/>
      <c r="DXK1" s="47"/>
      <c r="DXL1" s="47"/>
      <c r="DXM1" s="47"/>
      <c r="DXN1" s="47"/>
      <c r="DXO1" s="47"/>
      <c r="DXP1" s="47"/>
      <c r="DXQ1" s="47"/>
      <c r="DXR1" s="47"/>
      <c r="DXS1" s="47"/>
      <c r="DXT1" s="47"/>
      <c r="DXU1" s="47"/>
      <c r="DXV1" s="47"/>
      <c r="DXW1" s="47"/>
      <c r="DXX1" s="47"/>
      <c r="DXY1" s="47"/>
      <c r="DXZ1" s="47"/>
      <c r="DYA1" s="47"/>
      <c r="DYB1" s="47"/>
      <c r="DYC1" s="47"/>
      <c r="DYD1" s="47"/>
      <c r="DYE1" s="47"/>
      <c r="DYF1" s="47"/>
      <c r="DYG1" s="47"/>
      <c r="DYH1" s="47"/>
      <c r="DYI1" s="47"/>
      <c r="DYJ1" s="47"/>
      <c r="DYK1" s="47"/>
      <c r="DYL1" s="47"/>
      <c r="DYM1" s="47"/>
      <c r="DYN1" s="47"/>
      <c r="DYO1" s="47"/>
      <c r="DYP1" s="47"/>
      <c r="DYQ1" s="47"/>
      <c r="DYR1" s="47"/>
      <c r="DYS1" s="47"/>
      <c r="DYT1" s="47"/>
      <c r="DYU1" s="47"/>
      <c r="DYV1" s="47"/>
      <c r="DYW1" s="47"/>
      <c r="DYX1" s="47"/>
      <c r="DYY1" s="47"/>
      <c r="DYZ1" s="47"/>
      <c r="DZA1" s="47"/>
      <c r="DZB1" s="47"/>
      <c r="DZC1" s="47"/>
      <c r="DZD1" s="47"/>
      <c r="DZE1" s="47"/>
      <c r="DZF1" s="47"/>
      <c r="DZG1" s="47"/>
      <c r="DZH1" s="47"/>
      <c r="DZI1" s="47"/>
      <c r="DZJ1" s="47"/>
      <c r="DZK1" s="47"/>
      <c r="DZL1" s="47"/>
      <c r="DZM1" s="47"/>
      <c r="DZN1" s="47"/>
      <c r="DZO1" s="47"/>
      <c r="DZP1" s="47"/>
      <c r="DZQ1" s="47"/>
      <c r="DZR1" s="47"/>
      <c r="DZS1" s="47"/>
      <c r="DZT1" s="47"/>
      <c r="DZU1" s="47"/>
      <c r="DZV1" s="47"/>
      <c r="DZW1" s="47"/>
      <c r="DZX1" s="47"/>
      <c r="DZY1" s="47"/>
      <c r="DZZ1" s="47"/>
      <c r="EAA1" s="47"/>
      <c r="EAB1" s="47"/>
      <c r="EAC1" s="47"/>
      <c r="EAD1" s="47"/>
      <c r="EAE1" s="47"/>
      <c r="EAF1" s="47"/>
      <c r="EAG1" s="47"/>
      <c r="EAH1" s="47"/>
      <c r="EAI1" s="47"/>
      <c r="EAJ1" s="47"/>
      <c r="EAK1" s="47"/>
      <c r="EAL1" s="47"/>
      <c r="EAM1" s="47"/>
      <c r="EAN1" s="47"/>
      <c r="EAO1" s="47"/>
      <c r="EAP1" s="47"/>
      <c r="EAQ1" s="47"/>
      <c r="EAR1" s="47"/>
      <c r="EAS1" s="47"/>
      <c r="EAT1" s="47"/>
      <c r="EAU1" s="47"/>
      <c r="EAV1" s="47"/>
      <c r="EAW1" s="47"/>
      <c r="EAX1" s="47"/>
      <c r="EAY1" s="47"/>
      <c r="EAZ1" s="47"/>
      <c r="EBA1" s="47"/>
      <c r="EBB1" s="47"/>
      <c r="EBC1" s="47"/>
      <c r="EBD1" s="47"/>
      <c r="EBE1" s="47"/>
      <c r="EBF1" s="47"/>
      <c r="EBG1" s="47"/>
      <c r="EBH1" s="47"/>
      <c r="EBI1" s="47"/>
      <c r="EBJ1" s="47"/>
      <c r="EBK1" s="47"/>
      <c r="EBL1" s="47"/>
      <c r="EBM1" s="47"/>
      <c r="EBN1" s="47"/>
      <c r="EBO1" s="47"/>
      <c r="EBP1" s="47"/>
      <c r="EBQ1" s="47"/>
      <c r="EBR1" s="47"/>
      <c r="EBS1" s="47"/>
      <c r="EBT1" s="47"/>
      <c r="EBU1" s="47"/>
      <c r="EBV1" s="47"/>
      <c r="EBW1" s="47"/>
      <c r="EBX1" s="47"/>
      <c r="EBY1" s="47"/>
      <c r="EBZ1" s="47"/>
      <c r="ECA1" s="47"/>
      <c r="ECB1" s="47"/>
      <c r="ECC1" s="47"/>
      <c r="ECD1" s="47"/>
      <c r="ECE1" s="47"/>
      <c r="ECF1" s="47"/>
      <c r="ECG1" s="47"/>
      <c r="ECH1" s="47"/>
      <c r="ECI1" s="47"/>
      <c r="ECJ1" s="47"/>
      <c r="ECK1" s="47"/>
      <c r="ECL1" s="47"/>
      <c r="ECM1" s="47"/>
      <c r="ECN1" s="47"/>
      <c r="ECO1" s="47"/>
      <c r="ECP1" s="47"/>
      <c r="ECQ1" s="47"/>
      <c r="ECR1" s="47"/>
      <c r="ECS1" s="47"/>
      <c r="ECT1" s="47"/>
      <c r="ECU1" s="47"/>
      <c r="ECV1" s="47"/>
      <c r="ECW1" s="47"/>
      <c r="ECX1" s="47"/>
      <c r="ECY1" s="47"/>
      <c r="ECZ1" s="47"/>
      <c r="EDA1" s="47"/>
      <c r="EDB1" s="47"/>
      <c r="EDC1" s="47"/>
      <c r="EDD1" s="47"/>
      <c r="EDE1" s="47"/>
      <c r="EDF1" s="47"/>
      <c r="EDG1" s="47"/>
      <c r="EDH1" s="47"/>
      <c r="EDI1" s="47"/>
      <c r="EDJ1" s="47"/>
      <c r="EDK1" s="47"/>
      <c r="EDL1" s="47"/>
      <c r="EDM1" s="47"/>
      <c r="EDN1" s="47"/>
      <c r="EDO1" s="47"/>
      <c r="EDP1" s="47"/>
      <c r="EDQ1" s="47"/>
      <c r="EDR1" s="47"/>
      <c r="EDS1" s="47"/>
      <c r="EDT1" s="47"/>
      <c r="EDU1" s="47"/>
      <c r="EDV1" s="47"/>
      <c r="EDW1" s="47"/>
      <c r="EDX1" s="47"/>
      <c r="EDY1" s="47"/>
      <c r="EDZ1" s="47"/>
      <c r="EEA1" s="47"/>
      <c r="EEB1" s="47"/>
      <c r="EEC1" s="47"/>
      <c r="EED1" s="47"/>
      <c r="EEE1" s="47"/>
      <c r="EEF1" s="47"/>
      <c r="EEG1" s="47"/>
      <c r="EEH1" s="47"/>
      <c r="EEI1" s="47"/>
      <c r="EEJ1" s="47"/>
      <c r="EEK1" s="47"/>
      <c r="EEL1" s="47"/>
      <c r="EEM1" s="47"/>
      <c r="EEN1" s="47"/>
      <c r="EEO1" s="47"/>
      <c r="EEP1" s="47"/>
      <c r="EEQ1" s="47"/>
      <c r="EER1" s="47"/>
      <c r="EES1" s="47"/>
      <c r="EET1" s="47"/>
      <c r="EEU1" s="47"/>
      <c r="EEV1" s="47"/>
      <c r="EEW1" s="47"/>
      <c r="EEX1" s="47"/>
      <c r="EEY1" s="47"/>
      <c r="EEZ1" s="47"/>
      <c r="EFA1" s="47"/>
      <c r="EFB1" s="47"/>
      <c r="EFC1" s="47"/>
      <c r="EFD1" s="47"/>
      <c r="EFE1" s="47"/>
      <c r="EFF1" s="47"/>
      <c r="EFG1" s="47"/>
      <c r="EFH1" s="47"/>
      <c r="EFI1" s="47"/>
      <c r="EFJ1" s="47"/>
      <c r="EFK1" s="47"/>
      <c r="EFL1" s="47"/>
      <c r="EFM1" s="47"/>
      <c r="EFN1" s="47"/>
      <c r="EFO1" s="47"/>
      <c r="EFP1" s="47"/>
      <c r="EFQ1" s="47"/>
      <c r="EFR1" s="47"/>
      <c r="EFS1" s="47"/>
      <c r="EFT1" s="47"/>
      <c r="EFU1" s="47"/>
      <c r="EFV1" s="47"/>
      <c r="EFW1" s="47"/>
      <c r="EFX1" s="47"/>
      <c r="EFY1" s="47"/>
      <c r="EFZ1" s="47"/>
      <c r="EGA1" s="47"/>
      <c r="EGB1" s="47"/>
      <c r="EGC1" s="47"/>
      <c r="EGD1" s="47"/>
      <c r="EGE1" s="47"/>
      <c r="EGF1" s="47"/>
      <c r="EGG1" s="47"/>
      <c r="EGH1" s="47"/>
      <c r="EGI1" s="47"/>
      <c r="EGJ1" s="47"/>
      <c r="EGK1" s="47"/>
      <c r="EGL1" s="47"/>
      <c r="EGM1" s="47"/>
      <c r="EGN1" s="47"/>
      <c r="EGO1" s="47"/>
      <c r="EGP1" s="47"/>
      <c r="EGQ1" s="47"/>
      <c r="EGR1" s="47"/>
      <c r="EGS1" s="47"/>
      <c r="EGT1" s="47"/>
      <c r="EGU1" s="47"/>
      <c r="EGV1" s="47"/>
      <c r="EGW1" s="47"/>
      <c r="EGX1" s="47"/>
      <c r="EGY1" s="47"/>
      <c r="EGZ1" s="47"/>
      <c r="EHA1" s="47"/>
      <c r="EHB1" s="47"/>
      <c r="EHC1" s="47"/>
      <c r="EHD1" s="47"/>
      <c r="EHE1" s="47"/>
      <c r="EHF1" s="47"/>
      <c r="EHG1" s="47"/>
      <c r="EHH1" s="47"/>
      <c r="EHI1" s="47"/>
      <c r="EHJ1" s="47"/>
      <c r="EHK1" s="47"/>
      <c r="EHL1" s="47"/>
      <c r="EHM1" s="47"/>
      <c r="EHN1" s="47"/>
      <c r="EHO1" s="47"/>
      <c r="EHP1" s="47"/>
      <c r="EHQ1" s="47"/>
      <c r="EHR1" s="47"/>
      <c r="EHS1" s="47"/>
      <c r="EHT1" s="47"/>
      <c r="EHU1" s="47"/>
      <c r="EHV1" s="47"/>
      <c r="EHW1" s="47"/>
      <c r="EHX1" s="47"/>
      <c r="EHY1" s="47"/>
      <c r="EHZ1" s="47"/>
      <c r="EIA1" s="47"/>
      <c r="EIB1" s="47"/>
      <c r="EIC1" s="47"/>
      <c r="EID1" s="47"/>
      <c r="EIE1" s="47"/>
      <c r="EIF1" s="47"/>
      <c r="EIG1" s="47"/>
      <c r="EIH1" s="47"/>
      <c r="EII1" s="47"/>
      <c r="EIJ1" s="47"/>
      <c r="EIK1" s="47"/>
      <c r="EIL1" s="47"/>
      <c r="EIM1" s="47"/>
      <c r="EIN1" s="47"/>
      <c r="EIO1" s="47"/>
      <c r="EIP1" s="47"/>
      <c r="EIQ1" s="47"/>
      <c r="EIR1" s="47"/>
      <c r="EIS1" s="47"/>
      <c r="EIT1" s="47"/>
      <c r="EIU1" s="47"/>
      <c r="EIV1" s="47"/>
      <c r="EIW1" s="47"/>
      <c r="EIX1" s="47"/>
      <c r="EIY1" s="47"/>
      <c r="EIZ1" s="47"/>
      <c r="EJA1" s="47"/>
      <c r="EJB1" s="47"/>
      <c r="EJC1" s="47"/>
      <c r="EJD1" s="47"/>
      <c r="EJE1" s="47"/>
      <c r="EJF1" s="47"/>
      <c r="EJG1" s="47"/>
      <c r="EJH1" s="47"/>
      <c r="EJI1" s="47"/>
      <c r="EJJ1" s="47"/>
      <c r="EJK1" s="47"/>
      <c r="EJL1" s="47"/>
      <c r="EJM1" s="47"/>
      <c r="EJN1" s="47"/>
      <c r="EJO1" s="47"/>
      <c r="EJP1" s="47"/>
      <c r="EJQ1" s="47"/>
      <c r="EJR1" s="47"/>
      <c r="EJS1" s="47"/>
      <c r="EJT1" s="47"/>
      <c r="EJU1" s="47"/>
      <c r="EJV1" s="47"/>
      <c r="EJW1" s="47"/>
      <c r="EJX1" s="47"/>
      <c r="EJY1" s="47"/>
      <c r="EJZ1" s="47"/>
      <c r="EKA1" s="47"/>
      <c r="EKB1" s="47"/>
      <c r="EKC1" s="47"/>
      <c r="EKD1" s="47"/>
      <c r="EKE1" s="47"/>
      <c r="EKF1" s="47"/>
      <c r="EKG1" s="47"/>
      <c r="EKH1" s="47"/>
      <c r="EKI1" s="47"/>
      <c r="EKJ1" s="47"/>
      <c r="EKK1" s="47"/>
      <c r="EKL1" s="47"/>
      <c r="EKM1" s="47"/>
      <c r="EKN1" s="47"/>
      <c r="EKO1" s="47"/>
      <c r="EKP1" s="47"/>
      <c r="EKQ1" s="47"/>
      <c r="EKR1" s="47"/>
      <c r="EKS1" s="47"/>
      <c r="EKT1" s="47"/>
      <c r="EKU1" s="47"/>
      <c r="EKV1" s="47"/>
      <c r="EKW1" s="47"/>
      <c r="EKX1" s="47"/>
      <c r="EKY1" s="47"/>
      <c r="EKZ1" s="47"/>
      <c r="ELA1" s="47"/>
      <c r="ELB1" s="47"/>
      <c r="ELC1" s="47"/>
      <c r="ELD1" s="47"/>
      <c r="ELE1" s="47"/>
      <c r="ELF1" s="47"/>
      <c r="ELG1" s="47"/>
      <c r="ELH1" s="47"/>
      <c r="ELI1" s="47"/>
      <c r="ELJ1" s="47"/>
      <c r="ELK1" s="47"/>
      <c r="ELL1" s="47"/>
      <c r="ELM1" s="47"/>
      <c r="ELN1" s="47"/>
      <c r="ELO1" s="47"/>
      <c r="ELP1" s="47"/>
      <c r="ELQ1" s="47"/>
      <c r="ELR1" s="47"/>
      <c r="ELS1" s="47"/>
      <c r="ELT1" s="47"/>
      <c r="ELU1" s="47"/>
      <c r="ELV1" s="47"/>
      <c r="ELW1" s="47"/>
      <c r="ELX1" s="47"/>
      <c r="ELY1" s="47"/>
      <c r="ELZ1" s="47"/>
      <c r="EMA1" s="47"/>
      <c r="EMB1" s="47"/>
      <c r="EMC1" s="47"/>
      <c r="EMD1" s="47"/>
      <c r="EME1" s="47"/>
      <c r="EMF1" s="47"/>
      <c r="EMG1" s="47"/>
      <c r="EMH1" s="47"/>
      <c r="EMI1" s="47"/>
      <c r="EMJ1" s="47"/>
      <c r="EMK1" s="47"/>
      <c r="EML1" s="47"/>
      <c r="EMM1" s="47"/>
      <c r="EMN1" s="47"/>
      <c r="EMO1" s="47"/>
      <c r="EMP1" s="47"/>
      <c r="EMQ1" s="47"/>
      <c r="EMR1" s="47"/>
      <c r="EMS1" s="47"/>
      <c r="EMT1" s="47"/>
      <c r="EMU1" s="47"/>
      <c r="EMV1" s="47"/>
      <c r="EMW1" s="47"/>
      <c r="EMX1" s="47"/>
      <c r="EMY1" s="47"/>
      <c r="EMZ1" s="47"/>
      <c r="ENA1" s="47"/>
      <c r="ENB1" s="47"/>
      <c r="ENC1" s="47"/>
      <c r="END1" s="47"/>
      <c r="ENE1" s="47"/>
      <c r="ENF1" s="47"/>
      <c r="ENG1" s="47"/>
      <c r="ENH1" s="47"/>
      <c r="ENI1" s="47"/>
      <c r="ENJ1" s="47"/>
      <c r="ENK1" s="47"/>
      <c r="ENL1" s="47"/>
      <c r="ENM1" s="47"/>
      <c r="ENN1" s="47"/>
      <c r="ENO1" s="47"/>
      <c r="ENP1" s="47"/>
      <c r="ENQ1" s="47"/>
      <c r="ENR1" s="47"/>
      <c r="ENS1" s="47"/>
      <c r="ENT1" s="47"/>
      <c r="ENU1" s="47"/>
      <c r="ENV1" s="47"/>
      <c r="ENW1" s="47"/>
      <c r="ENX1" s="47"/>
      <c r="ENY1" s="47"/>
      <c r="ENZ1" s="47"/>
      <c r="EOA1" s="47"/>
      <c r="EOB1" s="47"/>
      <c r="EOC1" s="47"/>
      <c r="EOD1" s="47"/>
      <c r="EOE1" s="47"/>
      <c r="EOF1" s="47"/>
      <c r="EOG1" s="47"/>
      <c r="EOH1" s="47"/>
      <c r="EOI1" s="47"/>
      <c r="EOJ1" s="47"/>
      <c r="EOK1" s="47"/>
      <c r="EOL1" s="47"/>
      <c r="EOM1" s="47"/>
      <c r="EON1" s="47"/>
      <c r="EOO1" s="47"/>
      <c r="EOP1" s="47"/>
      <c r="EOQ1" s="47"/>
      <c r="EOR1" s="47"/>
      <c r="EOS1" s="47"/>
      <c r="EOT1" s="47"/>
      <c r="EOU1" s="47"/>
      <c r="EOV1" s="47"/>
      <c r="EOW1" s="47"/>
      <c r="EOX1" s="47"/>
      <c r="EOY1" s="47"/>
      <c r="EOZ1" s="47"/>
      <c r="EPA1" s="47"/>
      <c r="EPB1" s="47"/>
      <c r="EPC1" s="47"/>
      <c r="EPD1" s="47"/>
      <c r="EPE1" s="47"/>
      <c r="EPF1" s="47"/>
      <c r="EPG1" s="47"/>
      <c r="EPH1" s="47"/>
      <c r="EPI1" s="47"/>
      <c r="EPJ1" s="47"/>
      <c r="EPK1" s="47"/>
      <c r="EPL1" s="47"/>
      <c r="EPM1" s="47"/>
      <c r="EPN1" s="47"/>
      <c r="EPO1" s="47"/>
      <c r="EPP1" s="47"/>
      <c r="EPQ1" s="47"/>
      <c r="EPR1" s="47"/>
      <c r="EPS1" s="47"/>
      <c r="EPT1" s="47"/>
      <c r="EPU1" s="47"/>
      <c r="EPV1" s="47"/>
      <c r="EPW1" s="47"/>
      <c r="EPX1" s="47"/>
      <c r="EPY1" s="47"/>
      <c r="EPZ1" s="47"/>
      <c r="EQA1" s="47"/>
      <c r="EQB1" s="47"/>
      <c r="EQC1" s="47"/>
      <c r="EQD1" s="47"/>
      <c r="EQE1" s="47"/>
      <c r="EQF1" s="47"/>
      <c r="EQG1" s="47"/>
      <c r="EQH1" s="47"/>
      <c r="EQI1" s="47"/>
      <c r="EQJ1" s="47"/>
      <c r="EQK1" s="47"/>
      <c r="EQL1" s="47"/>
      <c r="EQM1" s="47"/>
      <c r="EQN1" s="47"/>
      <c r="EQO1" s="47"/>
      <c r="EQP1" s="47"/>
      <c r="EQQ1" s="47"/>
      <c r="EQR1" s="47"/>
      <c r="EQS1" s="47"/>
      <c r="EQT1" s="47"/>
      <c r="EQU1" s="47"/>
      <c r="EQV1" s="47"/>
      <c r="EQW1" s="47"/>
      <c r="EQX1" s="47"/>
      <c r="EQY1" s="47"/>
      <c r="EQZ1" s="47"/>
      <c r="ERA1" s="47"/>
      <c r="ERB1" s="47"/>
      <c r="ERC1" s="47"/>
      <c r="ERD1" s="47"/>
      <c r="ERE1" s="47"/>
      <c r="ERF1" s="47"/>
      <c r="ERG1" s="47"/>
      <c r="ERH1" s="47"/>
      <c r="ERI1" s="47"/>
      <c r="ERJ1" s="47"/>
      <c r="ERK1" s="47"/>
      <c r="ERL1" s="47"/>
      <c r="ERM1" s="47"/>
      <c r="ERN1" s="47"/>
      <c r="ERO1" s="47"/>
      <c r="ERP1" s="47"/>
      <c r="ERQ1" s="47"/>
      <c r="ERR1" s="47"/>
      <c r="ERS1" s="47"/>
      <c r="ERT1" s="47"/>
      <c r="ERU1" s="47"/>
      <c r="ERV1" s="47"/>
      <c r="ERW1" s="47"/>
      <c r="ERX1" s="47"/>
      <c r="ERY1" s="47"/>
      <c r="ERZ1" s="47"/>
      <c r="ESA1" s="47"/>
      <c r="ESB1" s="47"/>
      <c r="ESC1" s="47"/>
      <c r="ESD1" s="47"/>
      <c r="ESE1" s="47"/>
      <c r="ESF1" s="47"/>
      <c r="ESG1" s="47"/>
      <c r="ESH1" s="47"/>
      <c r="ESI1" s="47"/>
      <c r="ESJ1" s="47"/>
      <c r="ESK1" s="47"/>
      <c r="ESL1" s="47"/>
      <c r="ESM1" s="47"/>
      <c r="ESN1" s="47"/>
      <c r="ESO1" s="47"/>
      <c r="ESP1" s="47"/>
      <c r="ESQ1" s="47"/>
      <c r="ESR1" s="47"/>
      <c r="ESS1" s="47"/>
      <c r="EST1" s="47"/>
      <c r="ESU1" s="47"/>
      <c r="ESV1" s="47"/>
      <c r="ESW1" s="47"/>
      <c r="ESX1" s="47"/>
      <c r="ESY1" s="47"/>
      <c r="ESZ1" s="47"/>
      <c r="ETA1" s="47"/>
      <c r="ETB1" s="47"/>
      <c r="ETC1" s="47"/>
      <c r="ETD1" s="47"/>
      <c r="ETE1" s="47"/>
      <c r="ETF1" s="47"/>
      <c r="ETG1" s="47"/>
      <c r="ETH1" s="47"/>
      <c r="ETI1" s="47"/>
      <c r="ETJ1" s="47"/>
      <c r="ETK1" s="47"/>
      <c r="ETL1" s="47"/>
      <c r="ETM1" s="47"/>
      <c r="ETN1" s="47"/>
      <c r="ETO1" s="47"/>
      <c r="ETP1" s="47"/>
      <c r="ETQ1" s="47"/>
      <c r="ETR1" s="47"/>
      <c r="ETS1" s="47"/>
      <c r="ETT1" s="47"/>
      <c r="ETU1" s="47"/>
      <c r="ETV1" s="47"/>
      <c r="ETW1" s="47"/>
      <c r="ETX1" s="47"/>
      <c r="ETY1" s="47"/>
      <c r="ETZ1" s="47"/>
      <c r="EUA1" s="47"/>
      <c r="EUB1" s="47"/>
      <c r="EUC1" s="47"/>
      <c r="EUD1" s="47"/>
      <c r="EUE1" s="47"/>
      <c r="EUF1" s="47"/>
      <c r="EUG1" s="47"/>
      <c r="EUH1" s="47"/>
      <c r="EUI1" s="47"/>
      <c r="EUJ1" s="47"/>
      <c r="EUK1" s="47"/>
      <c r="EUL1" s="47"/>
      <c r="EUM1" s="47"/>
      <c r="EUN1" s="47"/>
      <c r="EUO1" s="47"/>
      <c r="EUP1" s="47"/>
      <c r="EUQ1" s="47"/>
      <c r="EUR1" s="47"/>
      <c r="EUS1" s="47"/>
      <c r="EUT1" s="47"/>
      <c r="EUU1" s="47"/>
      <c r="EUV1" s="47"/>
      <c r="EUW1" s="47"/>
      <c r="EUX1" s="47"/>
      <c r="EUY1" s="47"/>
      <c r="EUZ1" s="47"/>
      <c r="EVA1" s="47"/>
      <c r="EVB1" s="47"/>
      <c r="EVC1" s="47"/>
      <c r="EVD1" s="47"/>
      <c r="EVE1" s="47"/>
      <c r="EVF1" s="47"/>
      <c r="EVG1" s="47"/>
      <c r="EVH1" s="47"/>
      <c r="EVI1" s="47"/>
      <c r="EVJ1" s="47"/>
      <c r="EVK1" s="47"/>
      <c r="EVL1" s="47"/>
      <c r="EVM1" s="47"/>
      <c r="EVN1" s="47"/>
      <c r="EVO1" s="47"/>
      <c r="EVP1" s="47"/>
      <c r="EVQ1" s="47"/>
      <c r="EVR1" s="47"/>
      <c r="EVS1" s="47"/>
      <c r="EVT1" s="47"/>
      <c r="EVU1" s="47"/>
      <c r="EVV1" s="47"/>
      <c r="EVW1" s="47"/>
      <c r="EVX1" s="47"/>
      <c r="EVY1" s="47"/>
      <c r="EVZ1" s="47"/>
      <c r="EWA1" s="47"/>
      <c r="EWB1" s="47"/>
      <c r="EWC1" s="47"/>
      <c r="EWD1" s="47"/>
      <c r="EWE1" s="47"/>
      <c r="EWF1" s="47"/>
      <c r="EWG1" s="47"/>
      <c r="EWH1" s="47"/>
      <c r="EWI1" s="47"/>
      <c r="EWJ1" s="47"/>
      <c r="EWK1" s="47"/>
      <c r="EWL1" s="47"/>
      <c r="EWM1" s="47"/>
      <c r="EWN1" s="47"/>
      <c r="EWO1" s="47"/>
      <c r="EWP1" s="47"/>
      <c r="EWQ1" s="47"/>
      <c r="EWR1" s="47"/>
      <c r="EWS1" s="47"/>
      <c r="EWT1" s="47"/>
      <c r="EWU1" s="47"/>
      <c r="EWV1" s="47"/>
      <c r="EWW1" s="47"/>
      <c r="EWX1" s="47"/>
      <c r="EWY1" s="47"/>
      <c r="EWZ1" s="47"/>
      <c r="EXA1" s="47"/>
      <c r="EXB1" s="47"/>
      <c r="EXC1" s="47"/>
      <c r="EXD1" s="47"/>
      <c r="EXE1" s="47"/>
      <c r="EXF1" s="47"/>
      <c r="EXG1" s="47"/>
      <c r="EXH1" s="47"/>
      <c r="EXI1" s="47"/>
      <c r="EXJ1" s="47"/>
      <c r="EXK1" s="47"/>
      <c r="EXL1" s="47"/>
      <c r="EXM1" s="47"/>
      <c r="EXN1" s="47"/>
      <c r="EXO1" s="47"/>
      <c r="EXP1" s="47"/>
      <c r="EXQ1" s="47"/>
      <c r="EXR1" s="47"/>
      <c r="EXS1" s="47"/>
      <c r="EXT1" s="47"/>
      <c r="EXU1" s="47"/>
      <c r="EXV1" s="47"/>
      <c r="EXW1" s="47"/>
      <c r="EXX1" s="47"/>
      <c r="EXY1" s="47"/>
      <c r="EXZ1" s="47"/>
      <c r="EYA1" s="47"/>
      <c r="EYB1" s="47"/>
      <c r="EYC1" s="47"/>
      <c r="EYD1" s="47"/>
      <c r="EYE1" s="47"/>
      <c r="EYF1" s="47"/>
      <c r="EYG1" s="47"/>
      <c r="EYH1" s="47"/>
      <c r="EYI1" s="47"/>
      <c r="EYJ1" s="47"/>
      <c r="EYK1" s="47"/>
      <c r="EYL1" s="47"/>
      <c r="EYM1" s="47"/>
      <c r="EYN1" s="47"/>
      <c r="EYO1" s="47"/>
      <c r="EYP1" s="47"/>
      <c r="EYQ1" s="47"/>
      <c r="EYR1" s="47"/>
      <c r="EYS1" s="47"/>
      <c r="EYT1" s="47"/>
      <c r="EYU1" s="47"/>
      <c r="EYV1" s="47"/>
      <c r="EYW1" s="47"/>
      <c r="EYX1" s="47"/>
      <c r="EYY1" s="47"/>
      <c r="EYZ1" s="47"/>
      <c r="EZA1" s="47"/>
      <c r="EZB1" s="47"/>
      <c r="EZC1" s="47"/>
      <c r="EZD1" s="47"/>
      <c r="EZE1" s="47"/>
      <c r="EZF1" s="47"/>
      <c r="EZG1" s="47"/>
      <c r="EZH1" s="47"/>
      <c r="EZI1" s="47"/>
      <c r="EZJ1" s="47"/>
      <c r="EZK1" s="47"/>
      <c r="EZL1" s="47"/>
      <c r="EZM1" s="47"/>
      <c r="EZN1" s="47"/>
      <c r="EZO1" s="47"/>
      <c r="EZP1" s="47"/>
      <c r="EZQ1" s="47"/>
      <c r="EZR1" s="47"/>
      <c r="EZS1" s="47"/>
      <c r="EZT1" s="47"/>
      <c r="EZU1" s="47"/>
      <c r="EZV1" s="47"/>
      <c r="EZW1" s="47"/>
      <c r="EZX1" s="47"/>
      <c r="EZY1" s="47"/>
      <c r="EZZ1" s="47"/>
      <c r="FAA1" s="47"/>
      <c r="FAB1" s="47"/>
      <c r="FAC1" s="47"/>
      <c r="FAD1" s="47"/>
      <c r="FAE1" s="47"/>
      <c r="FAF1" s="47"/>
      <c r="FAG1" s="47"/>
      <c r="FAH1" s="47"/>
      <c r="FAI1" s="47"/>
      <c r="FAJ1" s="47"/>
      <c r="FAK1" s="47"/>
      <c r="FAL1" s="47"/>
      <c r="FAM1" s="47"/>
      <c r="FAN1" s="47"/>
      <c r="FAO1" s="47"/>
      <c r="FAP1" s="47"/>
      <c r="FAQ1" s="47"/>
      <c r="FAR1" s="47"/>
      <c r="FAS1" s="47"/>
      <c r="FAT1" s="47"/>
      <c r="FAU1" s="47"/>
      <c r="FAV1" s="47"/>
      <c r="FAW1" s="47"/>
      <c r="FAX1" s="47"/>
      <c r="FAY1" s="47"/>
      <c r="FAZ1" s="47"/>
      <c r="FBA1" s="47"/>
      <c r="FBB1" s="47"/>
      <c r="FBC1" s="47"/>
      <c r="FBD1" s="47"/>
      <c r="FBE1" s="47"/>
      <c r="FBF1" s="47"/>
      <c r="FBG1" s="47"/>
      <c r="FBH1" s="47"/>
      <c r="FBI1" s="47"/>
      <c r="FBJ1" s="47"/>
      <c r="FBK1" s="47"/>
      <c r="FBL1" s="47"/>
      <c r="FBM1" s="47"/>
      <c r="FBN1" s="47"/>
      <c r="FBO1" s="47"/>
      <c r="FBP1" s="47"/>
      <c r="FBQ1" s="47"/>
      <c r="FBR1" s="47"/>
      <c r="FBS1" s="47"/>
      <c r="FBT1" s="47"/>
      <c r="FBU1" s="47"/>
      <c r="FBV1" s="47"/>
      <c r="FBW1" s="47"/>
      <c r="FBX1" s="47"/>
      <c r="FBY1" s="47"/>
      <c r="FBZ1" s="47"/>
      <c r="FCA1" s="47"/>
      <c r="FCB1" s="47"/>
      <c r="FCC1" s="47"/>
      <c r="FCD1" s="47"/>
      <c r="FCE1" s="47"/>
      <c r="FCF1" s="47"/>
      <c r="FCG1" s="47"/>
      <c r="FCH1" s="47"/>
      <c r="FCI1" s="47"/>
      <c r="FCJ1" s="47"/>
      <c r="FCK1" s="47"/>
      <c r="FCL1" s="47"/>
      <c r="FCM1" s="47"/>
      <c r="FCN1" s="47"/>
      <c r="FCO1" s="47"/>
      <c r="FCP1" s="47"/>
      <c r="FCQ1" s="47"/>
      <c r="FCR1" s="47"/>
      <c r="FCS1" s="47"/>
      <c r="FCT1" s="47"/>
      <c r="FCU1" s="47"/>
      <c r="FCV1" s="47"/>
      <c r="FCW1" s="47"/>
      <c r="FCX1" s="47"/>
      <c r="FCY1" s="47"/>
      <c r="FCZ1" s="47"/>
      <c r="FDA1" s="47"/>
      <c r="FDB1" s="47"/>
      <c r="FDC1" s="47"/>
      <c r="FDD1" s="47"/>
      <c r="FDE1" s="47"/>
      <c r="FDF1" s="47"/>
      <c r="FDG1" s="47"/>
      <c r="FDH1" s="47"/>
      <c r="FDI1" s="47"/>
      <c r="FDJ1" s="47"/>
      <c r="FDK1" s="47"/>
      <c r="FDL1" s="47"/>
      <c r="FDM1" s="47"/>
      <c r="FDN1" s="47"/>
      <c r="FDO1" s="47"/>
      <c r="FDP1" s="47"/>
      <c r="FDQ1" s="47"/>
      <c r="FDR1" s="47"/>
      <c r="FDS1" s="47"/>
      <c r="FDT1" s="47"/>
      <c r="FDU1" s="47"/>
      <c r="FDV1" s="47"/>
      <c r="FDW1" s="47"/>
      <c r="FDX1" s="47"/>
      <c r="FDY1" s="47"/>
      <c r="FDZ1" s="47"/>
      <c r="FEA1" s="47"/>
      <c r="FEB1" s="47"/>
      <c r="FEC1" s="47"/>
      <c r="FED1" s="47"/>
      <c r="FEE1" s="47"/>
      <c r="FEF1" s="47"/>
      <c r="FEG1" s="47"/>
      <c r="FEH1" s="47"/>
      <c r="FEI1" s="47"/>
      <c r="FEJ1" s="47"/>
      <c r="FEK1" s="47"/>
      <c r="FEL1" s="47"/>
      <c r="FEM1" s="47"/>
      <c r="FEN1" s="47"/>
      <c r="FEO1" s="47"/>
      <c r="FEP1" s="47"/>
      <c r="FEQ1" s="47"/>
      <c r="FER1" s="47"/>
      <c r="FES1" s="47"/>
      <c r="FET1" s="47"/>
      <c r="FEU1" s="47"/>
      <c r="FEV1" s="47"/>
      <c r="FEW1" s="47"/>
      <c r="FEX1" s="47"/>
      <c r="FEY1" s="47"/>
      <c r="FEZ1" s="47"/>
      <c r="FFA1" s="47"/>
      <c r="FFB1" s="47"/>
      <c r="FFC1" s="47"/>
      <c r="FFD1" s="47"/>
      <c r="FFE1" s="47"/>
      <c r="FFF1" s="47"/>
      <c r="FFG1" s="47"/>
      <c r="FFH1" s="47"/>
      <c r="FFI1" s="47"/>
      <c r="FFJ1" s="47"/>
      <c r="FFK1" s="47"/>
      <c r="FFL1" s="47"/>
      <c r="FFM1" s="47"/>
      <c r="FFN1" s="47"/>
      <c r="FFO1" s="47"/>
      <c r="FFP1" s="47"/>
      <c r="FFQ1" s="47"/>
      <c r="FFR1" s="47"/>
      <c r="FFS1" s="47"/>
      <c r="FFT1" s="47"/>
      <c r="FFU1" s="47"/>
      <c r="FFV1" s="47"/>
      <c r="FFW1" s="47"/>
      <c r="FFX1" s="47"/>
      <c r="FFY1" s="47"/>
      <c r="FFZ1" s="47"/>
      <c r="FGA1" s="47"/>
      <c r="FGB1" s="47"/>
      <c r="FGC1" s="47"/>
      <c r="FGD1" s="47"/>
      <c r="FGE1" s="47"/>
      <c r="FGF1" s="47"/>
      <c r="FGG1" s="47"/>
      <c r="FGH1" s="47"/>
      <c r="FGI1" s="47"/>
      <c r="FGJ1" s="47"/>
      <c r="FGK1" s="47"/>
      <c r="FGL1" s="47"/>
      <c r="FGM1" s="47"/>
      <c r="FGN1" s="47"/>
      <c r="FGO1" s="47"/>
      <c r="FGP1" s="47"/>
      <c r="FGQ1" s="47"/>
      <c r="FGR1" s="47"/>
      <c r="FGS1" s="47"/>
      <c r="FGT1" s="47"/>
      <c r="FGU1" s="47"/>
      <c r="FGV1" s="47"/>
      <c r="FGW1" s="47"/>
      <c r="FGX1" s="47"/>
      <c r="FGY1" s="47"/>
      <c r="FGZ1" s="47"/>
      <c r="FHA1" s="47"/>
      <c r="FHB1" s="47"/>
      <c r="FHC1" s="47"/>
      <c r="FHD1" s="47"/>
      <c r="FHE1" s="47"/>
      <c r="FHF1" s="47"/>
      <c r="FHG1" s="47"/>
      <c r="FHH1" s="47"/>
      <c r="FHI1" s="47"/>
      <c r="FHJ1" s="47"/>
      <c r="FHK1" s="47"/>
      <c r="FHL1" s="47"/>
      <c r="FHM1" s="47"/>
      <c r="FHN1" s="47"/>
      <c r="FHO1" s="47"/>
      <c r="FHP1" s="47"/>
      <c r="FHQ1" s="47"/>
      <c r="FHR1" s="47"/>
      <c r="FHS1" s="47"/>
      <c r="FHT1" s="47"/>
      <c r="FHU1" s="47"/>
      <c r="FHV1" s="47"/>
      <c r="FHW1" s="47"/>
      <c r="FHX1" s="47"/>
      <c r="FHY1" s="47"/>
      <c r="FHZ1" s="47"/>
      <c r="FIA1" s="47"/>
      <c r="FIB1" s="47"/>
      <c r="FIC1" s="47"/>
      <c r="FID1" s="47"/>
      <c r="FIE1" s="47"/>
      <c r="FIF1" s="47"/>
      <c r="FIG1" s="47"/>
      <c r="FIH1" s="47"/>
      <c r="FII1" s="47"/>
      <c r="FIJ1" s="47"/>
      <c r="FIK1" s="47"/>
      <c r="FIL1" s="47"/>
      <c r="FIM1" s="47"/>
      <c r="FIN1" s="47"/>
      <c r="FIO1" s="47"/>
      <c r="FIP1" s="47"/>
      <c r="FIQ1" s="47"/>
      <c r="FIR1" s="47"/>
      <c r="FIS1" s="47"/>
      <c r="FIT1" s="47"/>
      <c r="FIU1" s="47"/>
      <c r="FIV1" s="47"/>
      <c r="FIW1" s="47"/>
      <c r="FIX1" s="47"/>
      <c r="FIY1" s="47"/>
      <c r="FIZ1" s="47"/>
      <c r="FJA1" s="47"/>
      <c r="FJB1" s="47"/>
      <c r="FJC1" s="47"/>
      <c r="FJD1" s="47"/>
      <c r="FJE1" s="47"/>
      <c r="FJF1" s="47"/>
      <c r="FJG1" s="47"/>
      <c r="FJH1" s="47"/>
      <c r="FJI1" s="47"/>
      <c r="FJJ1" s="47"/>
      <c r="FJK1" s="47"/>
      <c r="FJL1" s="47"/>
      <c r="FJM1" s="47"/>
      <c r="FJN1" s="47"/>
      <c r="FJO1" s="47"/>
      <c r="FJP1" s="47"/>
      <c r="FJQ1" s="47"/>
      <c r="FJR1" s="47"/>
      <c r="FJS1" s="47"/>
      <c r="FJT1" s="47"/>
      <c r="FJU1" s="47"/>
      <c r="FJV1" s="47"/>
      <c r="FJW1" s="47"/>
      <c r="FJX1" s="47"/>
      <c r="FJY1" s="47"/>
      <c r="FJZ1" s="47"/>
      <c r="FKA1" s="47"/>
      <c r="FKB1" s="47"/>
      <c r="FKC1" s="47"/>
      <c r="FKD1" s="47"/>
      <c r="FKE1" s="47"/>
      <c r="FKF1" s="47"/>
      <c r="FKG1" s="47"/>
      <c r="FKH1" s="47"/>
      <c r="FKI1" s="47"/>
      <c r="FKJ1" s="47"/>
      <c r="FKK1" s="47"/>
      <c r="FKL1" s="47"/>
      <c r="FKM1" s="47"/>
      <c r="FKN1" s="47"/>
      <c r="FKO1" s="47"/>
      <c r="FKP1" s="47"/>
      <c r="FKQ1" s="47"/>
      <c r="FKR1" s="47"/>
      <c r="FKS1" s="47"/>
      <c r="FKT1" s="47"/>
      <c r="FKU1" s="47"/>
      <c r="FKV1" s="47"/>
      <c r="FKW1" s="47"/>
      <c r="FKX1" s="47"/>
      <c r="FKY1" s="47"/>
      <c r="FKZ1" s="47"/>
      <c r="FLA1" s="47"/>
      <c r="FLB1" s="47"/>
      <c r="FLC1" s="47"/>
      <c r="FLD1" s="47"/>
      <c r="FLE1" s="47"/>
      <c r="FLF1" s="47"/>
      <c r="FLG1" s="47"/>
      <c r="FLH1" s="47"/>
      <c r="FLI1" s="47"/>
      <c r="FLJ1" s="47"/>
      <c r="FLK1" s="47"/>
      <c r="FLL1" s="47"/>
      <c r="FLM1" s="47"/>
      <c r="FLN1" s="47"/>
      <c r="FLO1" s="47"/>
      <c r="FLP1" s="47"/>
      <c r="FLQ1" s="47"/>
      <c r="FLR1" s="47"/>
      <c r="FLS1" s="47"/>
      <c r="FLT1" s="47"/>
      <c r="FLU1" s="47"/>
      <c r="FLV1" s="47"/>
      <c r="FLW1" s="47"/>
      <c r="FLX1" s="47"/>
      <c r="FLY1" s="47"/>
      <c r="FLZ1" s="47"/>
      <c r="FMA1" s="47"/>
      <c r="FMB1" s="47"/>
      <c r="FMC1" s="47"/>
      <c r="FMD1" s="47"/>
      <c r="FME1" s="47"/>
      <c r="FMF1" s="47"/>
      <c r="FMG1" s="47"/>
      <c r="FMH1" s="47"/>
      <c r="FMI1" s="47"/>
      <c r="FMJ1" s="47"/>
      <c r="FMK1" s="47"/>
      <c r="FML1" s="47"/>
      <c r="FMM1" s="47"/>
      <c r="FMN1" s="47"/>
      <c r="FMO1" s="47"/>
      <c r="FMP1" s="47"/>
      <c r="FMQ1" s="47"/>
      <c r="FMR1" s="47"/>
      <c r="FMS1" s="47"/>
      <c r="FMT1" s="47"/>
      <c r="FMU1" s="47"/>
      <c r="FMV1" s="47"/>
      <c r="FMW1" s="47"/>
      <c r="FMX1" s="47"/>
      <c r="FMY1" s="47"/>
      <c r="FMZ1" s="47"/>
      <c r="FNA1" s="47"/>
      <c r="FNB1" s="47"/>
      <c r="FNC1" s="47"/>
      <c r="FND1" s="47"/>
      <c r="FNE1" s="47"/>
      <c r="FNF1" s="47"/>
      <c r="FNG1" s="47"/>
      <c r="FNH1" s="47"/>
      <c r="FNI1" s="47"/>
      <c r="FNJ1" s="47"/>
      <c r="FNK1" s="47"/>
      <c r="FNL1" s="47"/>
      <c r="FNM1" s="47"/>
      <c r="FNN1" s="47"/>
      <c r="FNO1" s="47"/>
      <c r="FNP1" s="47"/>
      <c r="FNQ1" s="47"/>
      <c r="FNR1" s="47"/>
      <c r="FNS1" s="47"/>
      <c r="FNT1" s="47"/>
      <c r="FNU1" s="47"/>
      <c r="FNV1" s="47"/>
      <c r="FNW1" s="47"/>
      <c r="FNX1" s="47"/>
      <c r="FNY1" s="47"/>
      <c r="FNZ1" s="47"/>
      <c r="FOA1" s="47"/>
      <c r="FOB1" s="47"/>
      <c r="FOC1" s="47"/>
      <c r="FOD1" s="47"/>
      <c r="FOE1" s="47"/>
      <c r="FOF1" s="47"/>
      <c r="FOG1" s="47"/>
      <c r="FOH1" s="47"/>
      <c r="FOI1" s="47"/>
      <c r="FOJ1" s="47"/>
      <c r="FOK1" s="47"/>
      <c r="FOL1" s="47"/>
      <c r="FOM1" s="47"/>
      <c r="FON1" s="47"/>
      <c r="FOO1" s="47"/>
      <c r="FOP1" s="47"/>
      <c r="FOQ1" s="47"/>
      <c r="FOR1" s="47"/>
      <c r="FOS1" s="47"/>
      <c r="FOT1" s="47"/>
      <c r="FOU1" s="47"/>
      <c r="FOV1" s="47"/>
      <c r="FOW1" s="47"/>
      <c r="FOX1" s="47"/>
      <c r="FOY1" s="47"/>
      <c r="FOZ1" s="47"/>
      <c r="FPA1" s="47"/>
      <c r="FPB1" s="47"/>
      <c r="FPC1" s="47"/>
      <c r="FPD1" s="47"/>
      <c r="FPE1" s="47"/>
      <c r="FPF1" s="47"/>
      <c r="FPG1" s="47"/>
      <c r="FPH1" s="47"/>
      <c r="FPI1" s="47"/>
      <c r="FPJ1" s="47"/>
      <c r="FPK1" s="47"/>
      <c r="FPL1" s="47"/>
      <c r="FPM1" s="47"/>
      <c r="FPN1" s="47"/>
      <c r="FPO1" s="47"/>
      <c r="FPP1" s="47"/>
      <c r="FPQ1" s="47"/>
      <c r="FPR1" s="47"/>
      <c r="FPS1" s="47"/>
      <c r="FPT1" s="47"/>
      <c r="FPU1" s="47"/>
      <c r="FPV1" s="47"/>
      <c r="FPW1" s="47"/>
      <c r="FPX1" s="47"/>
      <c r="FPY1" s="47"/>
      <c r="FPZ1" s="47"/>
      <c r="FQA1" s="47"/>
      <c r="FQB1" s="47"/>
      <c r="FQC1" s="47"/>
      <c r="FQD1" s="47"/>
      <c r="FQE1" s="47"/>
      <c r="FQF1" s="47"/>
      <c r="FQG1" s="47"/>
      <c r="FQH1" s="47"/>
      <c r="FQI1" s="47"/>
      <c r="FQJ1" s="47"/>
      <c r="FQK1" s="47"/>
      <c r="FQL1" s="47"/>
      <c r="FQM1" s="47"/>
      <c r="FQN1" s="47"/>
      <c r="FQO1" s="47"/>
      <c r="FQP1" s="47"/>
      <c r="FQQ1" s="47"/>
      <c r="FQR1" s="47"/>
      <c r="FQS1" s="47"/>
      <c r="FQT1" s="47"/>
      <c r="FQU1" s="47"/>
      <c r="FQV1" s="47"/>
      <c r="FQW1" s="47"/>
      <c r="FQX1" s="47"/>
      <c r="FQY1" s="47"/>
      <c r="FQZ1" s="47"/>
      <c r="FRA1" s="47"/>
      <c r="FRB1" s="47"/>
      <c r="FRC1" s="47"/>
      <c r="FRD1" s="47"/>
      <c r="FRE1" s="47"/>
      <c r="FRF1" s="47"/>
      <c r="FRG1" s="47"/>
      <c r="FRH1" s="47"/>
      <c r="FRI1" s="47"/>
      <c r="FRJ1" s="47"/>
      <c r="FRK1" s="47"/>
      <c r="FRL1" s="47"/>
      <c r="FRM1" s="47"/>
      <c r="FRN1" s="47"/>
      <c r="FRO1" s="47"/>
      <c r="FRP1" s="47"/>
      <c r="FRQ1" s="47"/>
      <c r="FRR1" s="47"/>
      <c r="FRS1" s="47"/>
      <c r="FRT1" s="47"/>
      <c r="FRU1" s="47"/>
      <c r="FRV1" s="47"/>
      <c r="FRW1" s="47"/>
      <c r="FRX1" s="47"/>
      <c r="FRY1" s="47"/>
      <c r="FRZ1" s="47"/>
      <c r="FSA1" s="47"/>
      <c r="FSB1" s="47"/>
      <c r="FSC1" s="47"/>
      <c r="FSD1" s="47"/>
      <c r="FSE1" s="47"/>
      <c r="FSF1" s="47"/>
      <c r="FSG1" s="47"/>
      <c r="FSH1" s="47"/>
      <c r="FSI1" s="47"/>
      <c r="FSJ1" s="47"/>
      <c r="FSK1" s="47"/>
      <c r="FSL1" s="47"/>
      <c r="FSM1" s="47"/>
      <c r="FSN1" s="47"/>
      <c r="FSO1" s="47"/>
      <c r="FSP1" s="47"/>
      <c r="FSQ1" s="47"/>
      <c r="FSR1" s="47"/>
      <c r="FSS1" s="47"/>
      <c r="FST1" s="47"/>
      <c r="FSU1" s="47"/>
      <c r="FSV1" s="47"/>
      <c r="FSW1" s="47"/>
      <c r="FSX1" s="47"/>
      <c r="FSY1" s="47"/>
      <c r="FSZ1" s="47"/>
      <c r="FTA1" s="47"/>
      <c r="FTB1" s="47"/>
      <c r="FTC1" s="47"/>
      <c r="FTD1" s="47"/>
      <c r="FTE1" s="47"/>
      <c r="FTF1" s="47"/>
      <c r="FTG1" s="47"/>
      <c r="FTH1" s="47"/>
      <c r="FTI1" s="47"/>
      <c r="FTJ1" s="47"/>
      <c r="FTK1" s="47"/>
      <c r="FTL1" s="47"/>
      <c r="FTM1" s="47"/>
      <c r="FTN1" s="47"/>
      <c r="FTO1" s="47"/>
      <c r="FTP1" s="47"/>
      <c r="FTQ1" s="47"/>
      <c r="FTR1" s="47"/>
      <c r="FTS1" s="47"/>
      <c r="FTT1" s="47"/>
      <c r="FTU1" s="47"/>
      <c r="FTV1" s="47"/>
      <c r="FTW1" s="47"/>
      <c r="FTX1" s="47"/>
      <c r="FTY1" s="47"/>
      <c r="FTZ1" s="47"/>
      <c r="FUA1" s="47"/>
      <c r="FUB1" s="47"/>
      <c r="FUC1" s="47"/>
      <c r="FUD1" s="47"/>
      <c r="FUE1" s="47"/>
      <c r="FUF1" s="47"/>
      <c r="FUG1" s="47"/>
      <c r="FUH1" s="47"/>
      <c r="FUI1" s="47"/>
      <c r="FUJ1" s="47"/>
      <c r="FUK1" s="47"/>
      <c r="FUL1" s="47"/>
      <c r="FUM1" s="47"/>
      <c r="FUN1" s="47"/>
      <c r="FUO1" s="47"/>
      <c r="FUP1" s="47"/>
      <c r="FUQ1" s="47"/>
      <c r="FUR1" s="47"/>
      <c r="FUS1" s="47"/>
      <c r="FUT1" s="47"/>
      <c r="FUU1" s="47"/>
      <c r="FUV1" s="47"/>
      <c r="FUW1" s="47"/>
      <c r="FUX1" s="47"/>
      <c r="FUY1" s="47"/>
      <c r="FUZ1" s="47"/>
      <c r="FVA1" s="47"/>
      <c r="FVB1" s="47"/>
      <c r="FVC1" s="47"/>
      <c r="FVD1" s="47"/>
      <c r="FVE1" s="47"/>
      <c r="FVF1" s="47"/>
      <c r="FVG1" s="47"/>
      <c r="FVH1" s="47"/>
      <c r="FVI1" s="47"/>
      <c r="FVJ1" s="47"/>
      <c r="FVK1" s="47"/>
      <c r="FVL1" s="47"/>
      <c r="FVM1" s="47"/>
      <c r="FVN1" s="47"/>
      <c r="FVO1" s="47"/>
      <c r="FVP1" s="47"/>
      <c r="FVQ1" s="47"/>
      <c r="FVR1" s="47"/>
      <c r="FVS1" s="47"/>
      <c r="FVT1" s="47"/>
      <c r="FVU1" s="47"/>
      <c r="FVV1" s="47"/>
      <c r="FVW1" s="47"/>
      <c r="FVX1" s="47"/>
      <c r="FVY1" s="47"/>
      <c r="FVZ1" s="47"/>
      <c r="FWA1" s="47"/>
      <c r="FWB1" s="47"/>
      <c r="FWC1" s="47"/>
      <c r="FWD1" s="47"/>
      <c r="FWE1" s="47"/>
      <c r="FWF1" s="47"/>
      <c r="FWG1" s="47"/>
      <c r="FWH1" s="47"/>
      <c r="FWI1" s="47"/>
      <c r="FWJ1" s="47"/>
      <c r="FWK1" s="47"/>
      <c r="FWL1" s="47"/>
      <c r="FWM1" s="47"/>
      <c r="FWN1" s="47"/>
      <c r="FWO1" s="47"/>
      <c r="FWP1" s="47"/>
      <c r="FWQ1" s="47"/>
      <c r="FWR1" s="47"/>
      <c r="FWS1" s="47"/>
      <c r="FWT1" s="47"/>
      <c r="FWU1" s="47"/>
      <c r="FWV1" s="47"/>
      <c r="FWW1" s="47"/>
      <c r="FWX1" s="47"/>
      <c r="FWY1" s="47"/>
      <c r="FWZ1" s="47"/>
      <c r="FXA1" s="47"/>
      <c r="FXB1" s="47"/>
      <c r="FXC1" s="47"/>
      <c r="FXD1" s="47"/>
      <c r="FXE1" s="47"/>
      <c r="FXF1" s="47"/>
      <c r="FXG1" s="47"/>
      <c r="FXH1" s="47"/>
      <c r="FXI1" s="47"/>
      <c r="FXJ1" s="47"/>
      <c r="FXK1" s="47"/>
      <c r="FXL1" s="47"/>
      <c r="FXM1" s="47"/>
      <c r="FXN1" s="47"/>
      <c r="FXO1" s="47"/>
      <c r="FXP1" s="47"/>
      <c r="FXQ1" s="47"/>
      <c r="FXR1" s="47"/>
      <c r="FXS1" s="47"/>
      <c r="FXT1" s="47"/>
      <c r="FXU1" s="47"/>
      <c r="FXV1" s="47"/>
      <c r="FXW1" s="47"/>
      <c r="FXX1" s="47"/>
      <c r="FXY1" s="47"/>
      <c r="FXZ1" s="47"/>
      <c r="FYA1" s="47"/>
      <c r="FYB1" s="47"/>
      <c r="FYC1" s="47"/>
      <c r="FYD1" s="47"/>
      <c r="FYE1" s="47"/>
      <c r="FYF1" s="47"/>
      <c r="FYG1" s="47"/>
      <c r="FYH1" s="47"/>
      <c r="FYI1" s="47"/>
      <c r="FYJ1" s="47"/>
      <c r="FYK1" s="47"/>
      <c r="FYL1" s="47"/>
      <c r="FYM1" s="47"/>
      <c r="FYN1" s="47"/>
      <c r="FYO1" s="47"/>
      <c r="FYP1" s="47"/>
      <c r="FYQ1" s="47"/>
      <c r="FYR1" s="47"/>
      <c r="FYS1" s="47"/>
      <c r="FYT1" s="47"/>
      <c r="FYU1" s="47"/>
      <c r="FYV1" s="47"/>
      <c r="FYW1" s="47"/>
      <c r="FYX1" s="47"/>
      <c r="FYY1" s="47"/>
      <c r="FYZ1" s="47"/>
      <c r="FZA1" s="47"/>
      <c r="FZB1" s="47"/>
      <c r="FZC1" s="47"/>
      <c r="FZD1" s="47"/>
      <c r="FZE1" s="47"/>
      <c r="FZF1" s="47"/>
      <c r="FZG1" s="47"/>
      <c r="FZH1" s="47"/>
      <c r="FZI1" s="47"/>
      <c r="FZJ1" s="47"/>
      <c r="FZK1" s="47"/>
      <c r="FZL1" s="47"/>
      <c r="FZM1" s="47"/>
      <c r="FZN1" s="47"/>
      <c r="FZO1" s="47"/>
      <c r="FZP1" s="47"/>
      <c r="FZQ1" s="47"/>
      <c r="FZR1" s="47"/>
      <c r="FZS1" s="47"/>
      <c r="FZT1" s="47"/>
      <c r="FZU1" s="47"/>
      <c r="FZV1" s="47"/>
      <c r="FZW1" s="47"/>
      <c r="FZX1" s="47"/>
      <c r="FZY1" s="47"/>
      <c r="FZZ1" s="47"/>
      <c r="GAA1" s="47"/>
      <c r="GAB1" s="47"/>
      <c r="GAC1" s="47"/>
      <c r="GAD1" s="47"/>
      <c r="GAE1" s="47"/>
      <c r="GAF1" s="47"/>
      <c r="GAG1" s="47"/>
      <c r="GAH1" s="47"/>
      <c r="GAI1" s="47"/>
      <c r="GAJ1" s="47"/>
      <c r="GAK1" s="47"/>
      <c r="GAL1" s="47"/>
      <c r="GAM1" s="47"/>
      <c r="GAN1" s="47"/>
      <c r="GAO1" s="47"/>
      <c r="GAP1" s="47"/>
      <c r="GAQ1" s="47"/>
      <c r="GAR1" s="47"/>
      <c r="GAS1" s="47"/>
      <c r="GAT1" s="47"/>
      <c r="GAU1" s="47"/>
      <c r="GAV1" s="47"/>
      <c r="GAW1" s="47"/>
      <c r="GAX1" s="47"/>
      <c r="GAY1" s="47"/>
      <c r="GAZ1" s="47"/>
      <c r="GBA1" s="47"/>
      <c r="GBB1" s="47"/>
      <c r="GBC1" s="47"/>
      <c r="GBD1" s="47"/>
      <c r="GBE1" s="47"/>
      <c r="GBF1" s="47"/>
      <c r="GBG1" s="47"/>
      <c r="GBH1" s="47"/>
      <c r="GBI1" s="47"/>
      <c r="GBJ1" s="47"/>
      <c r="GBK1" s="47"/>
      <c r="GBL1" s="47"/>
      <c r="GBM1" s="47"/>
      <c r="GBN1" s="47"/>
      <c r="GBO1" s="47"/>
      <c r="GBP1" s="47"/>
      <c r="GBQ1" s="47"/>
      <c r="GBR1" s="47"/>
      <c r="GBS1" s="47"/>
      <c r="GBT1" s="47"/>
      <c r="GBU1" s="47"/>
      <c r="GBV1" s="47"/>
      <c r="GBW1" s="47"/>
      <c r="GBX1" s="47"/>
      <c r="GBY1" s="47"/>
      <c r="GBZ1" s="47"/>
      <c r="GCA1" s="47"/>
      <c r="GCB1" s="47"/>
      <c r="GCC1" s="47"/>
      <c r="GCD1" s="47"/>
      <c r="GCE1" s="47"/>
      <c r="GCF1" s="47"/>
      <c r="GCG1" s="47"/>
      <c r="GCH1" s="47"/>
      <c r="GCI1" s="47"/>
      <c r="GCJ1" s="47"/>
      <c r="GCK1" s="47"/>
      <c r="GCL1" s="47"/>
      <c r="GCM1" s="47"/>
      <c r="GCN1" s="47"/>
      <c r="GCO1" s="47"/>
      <c r="GCP1" s="47"/>
      <c r="GCQ1" s="47"/>
      <c r="GCR1" s="47"/>
      <c r="GCS1" s="47"/>
      <c r="GCT1" s="47"/>
      <c r="GCU1" s="47"/>
      <c r="GCV1" s="47"/>
      <c r="GCW1" s="47"/>
      <c r="GCX1" s="47"/>
      <c r="GCY1" s="47"/>
      <c r="GCZ1" s="47"/>
      <c r="GDA1" s="47"/>
      <c r="GDB1" s="47"/>
      <c r="GDC1" s="47"/>
      <c r="GDD1" s="47"/>
      <c r="GDE1" s="47"/>
      <c r="GDF1" s="47"/>
      <c r="GDG1" s="47"/>
      <c r="GDH1" s="47"/>
      <c r="GDI1" s="47"/>
      <c r="GDJ1" s="47"/>
      <c r="GDK1" s="47"/>
      <c r="GDL1" s="47"/>
      <c r="GDM1" s="47"/>
      <c r="GDN1" s="47"/>
      <c r="GDO1" s="47"/>
      <c r="GDP1" s="47"/>
      <c r="GDQ1" s="47"/>
      <c r="GDR1" s="47"/>
      <c r="GDS1" s="47"/>
      <c r="GDT1" s="47"/>
      <c r="GDU1" s="47"/>
      <c r="GDV1" s="47"/>
      <c r="GDW1" s="47"/>
      <c r="GDX1" s="47"/>
      <c r="GDY1" s="47"/>
      <c r="GDZ1" s="47"/>
      <c r="GEA1" s="47"/>
      <c r="GEB1" s="47"/>
      <c r="GEC1" s="47"/>
      <c r="GED1" s="47"/>
      <c r="GEE1" s="47"/>
      <c r="GEF1" s="47"/>
      <c r="GEG1" s="47"/>
      <c r="GEH1" s="47"/>
      <c r="GEI1" s="47"/>
      <c r="GEJ1" s="47"/>
      <c r="GEK1" s="47"/>
      <c r="GEL1" s="47"/>
      <c r="GEM1" s="47"/>
      <c r="GEN1" s="47"/>
      <c r="GEO1" s="47"/>
      <c r="GEP1" s="47"/>
      <c r="GEQ1" s="47"/>
      <c r="GER1" s="47"/>
      <c r="GES1" s="47"/>
      <c r="GET1" s="47"/>
      <c r="GEU1" s="47"/>
      <c r="GEV1" s="47"/>
      <c r="GEW1" s="47"/>
      <c r="GEX1" s="47"/>
      <c r="GEY1" s="47"/>
      <c r="GEZ1" s="47"/>
      <c r="GFA1" s="47"/>
      <c r="GFB1" s="47"/>
      <c r="GFC1" s="47"/>
      <c r="GFD1" s="47"/>
      <c r="GFE1" s="47"/>
      <c r="GFF1" s="47"/>
      <c r="GFG1" s="47"/>
      <c r="GFH1" s="47"/>
      <c r="GFI1" s="47"/>
      <c r="GFJ1" s="47"/>
      <c r="GFK1" s="47"/>
      <c r="GFL1" s="47"/>
      <c r="GFM1" s="47"/>
      <c r="GFN1" s="47"/>
      <c r="GFO1" s="47"/>
      <c r="GFP1" s="47"/>
      <c r="GFQ1" s="47"/>
      <c r="GFR1" s="47"/>
      <c r="GFS1" s="47"/>
      <c r="GFT1" s="47"/>
      <c r="GFU1" s="47"/>
      <c r="GFV1" s="47"/>
      <c r="GFW1" s="47"/>
      <c r="GFX1" s="47"/>
      <c r="GFY1" s="47"/>
      <c r="GFZ1" s="47"/>
      <c r="GGA1" s="47"/>
      <c r="GGB1" s="47"/>
      <c r="GGC1" s="47"/>
      <c r="GGD1" s="47"/>
      <c r="GGE1" s="47"/>
      <c r="GGF1" s="47"/>
      <c r="GGG1" s="47"/>
      <c r="GGH1" s="47"/>
      <c r="GGI1" s="47"/>
      <c r="GGJ1" s="47"/>
      <c r="GGK1" s="47"/>
      <c r="GGL1" s="47"/>
      <c r="GGM1" s="47"/>
      <c r="GGN1" s="47"/>
      <c r="GGO1" s="47"/>
      <c r="GGP1" s="47"/>
      <c r="GGQ1" s="47"/>
      <c r="GGR1" s="47"/>
      <c r="GGS1" s="47"/>
      <c r="GGT1" s="47"/>
      <c r="GGU1" s="47"/>
      <c r="GGV1" s="47"/>
      <c r="GGW1" s="47"/>
      <c r="GGX1" s="47"/>
      <c r="GGY1" s="47"/>
      <c r="GGZ1" s="47"/>
      <c r="GHA1" s="47"/>
      <c r="GHB1" s="47"/>
      <c r="GHC1" s="47"/>
      <c r="GHD1" s="47"/>
      <c r="GHE1" s="47"/>
      <c r="GHF1" s="47"/>
      <c r="GHG1" s="47"/>
      <c r="GHH1" s="47"/>
      <c r="GHI1" s="47"/>
      <c r="GHJ1" s="47"/>
      <c r="GHK1" s="47"/>
      <c r="GHL1" s="47"/>
      <c r="GHM1" s="47"/>
      <c r="GHN1" s="47"/>
      <c r="GHO1" s="47"/>
      <c r="GHP1" s="47"/>
      <c r="GHQ1" s="47"/>
      <c r="GHR1" s="47"/>
      <c r="GHS1" s="47"/>
      <c r="GHT1" s="47"/>
      <c r="GHU1" s="47"/>
      <c r="GHV1" s="47"/>
      <c r="GHW1" s="47"/>
      <c r="GHX1" s="47"/>
      <c r="GHY1" s="47"/>
      <c r="GHZ1" s="47"/>
      <c r="GIA1" s="47"/>
      <c r="GIB1" s="47"/>
      <c r="GIC1" s="47"/>
      <c r="GID1" s="47"/>
      <c r="GIE1" s="47"/>
      <c r="GIF1" s="47"/>
      <c r="GIG1" s="47"/>
      <c r="GIH1" s="47"/>
      <c r="GII1" s="47"/>
      <c r="GIJ1" s="47"/>
      <c r="GIK1" s="47"/>
      <c r="GIL1" s="47"/>
      <c r="GIM1" s="47"/>
      <c r="GIN1" s="47"/>
      <c r="GIO1" s="47"/>
      <c r="GIP1" s="47"/>
      <c r="GIQ1" s="47"/>
      <c r="GIR1" s="47"/>
      <c r="GIS1" s="47"/>
      <c r="GIT1" s="47"/>
      <c r="GIU1" s="47"/>
      <c r="GIV1" s="47"/>
      <c r="GIW1" s="47"/>
      <c r="GIX1" s="47"/>
      <c r="GIY1" s="47"/>
      <c r="GIZ1" s="47"/>
      <c r="GJA1" s="47"/>
      <c r="GJB1" s="47"/>
      <c r="GJC1" s="47"/>
      <c r="GJD1" s="47"/>
      <c r="GJE1" s="47"/>
      <c r="GJF1" s="47"/>
      <c r="GJG1" s="47"/>
      <c r="GJH1" s="47"/>
      <c r="GJI1" s="47"/>
      <c r="GJJ1" s="47"/>
      <c r="GJK1" s="47"/>
      <c r="GJL1" s="47"/>
      <c r="GJM1" s="47"/>
      <c r="GJN1" s="47"/>
      <c r="GJO1" s="47"/>
      <c r="GJP1" s="47"/>
      <c r="GJQ1" s="47"/>
      <c r="GJR1" s="47"/>
      <c r="GJS1" s="47"/>
      <c r="GJT1" s="47"/>
      <c r="GJU1" s="47"/>
      <c r="GJV1" s="47"/>
      <c r="GJW1" s="47"/>
      <c r="GJX1" s="47"/>
      <c r="GJY1" s="47"/>
      <c r="GJZ1" s="47"/>
      <c r="GKA1" s="47"/>
      <c r="GKB1" s="47"/>
      <c r="GKC1" s="47"/>
      <c r="GKD1" s="47"/>
      <c r="GKE1" s="47"/>
      <c r="GKF1" s="47"/>
      <c r="GKG1" s="47"/>
      <c r="GKH1" s="47"/>
      <c r="GKI1" s="47"/>
      <c r="GKJ1" s="47"/>
      <c r="GKK1" s="47"/>
      <c r="GKL1" s="47"/>
      <c r="GKM1" s="47"/>
      <c r="GKN1" s="47"/>
      <c r="GKO1" s="47"/>
      <c r="GKP1" s="47"/>
      <c r="GKQ1" s="47"/>
      <c r="GKR1" s="47"/>
      <c r="GKS1" s="47"/>
      <c r="GKT1" s="47"/>
      <c r="GKU1" s="47"/>
      <c r="GKV1" s="47"/>
      <c r="GKW1" s="47"/>
      <c r="GKX1" s="47"/>
      <c r="GKY1" s="47"/>
      <c r="GKZ1" s="47"/>
      <c r="GLA1" s="47"/>
      <c r="GLB1" s="47"/>
      <c r="GLC1" s="47"/>
      <c r="GLD1" s="47"/>
      <c r="GLE1" s="47"/>
      <c r="GLF1" s="47"/>
      <c r="GLG1" s="47"/>
      <c r="GLH1" s="47"/>
      <c r="GLI1" s="47"/>
      <c r="GLJ1" s="47"/>
      <c r="GLK1" s="47"/>
      <c r="GLL1" s="47"/>
      <c r="GLM1" s="47"/>
      <c r="GLN1" s="47"/>
      <c r="GLO1" s="47"/>
      <c r="GLP1" s="47"/>
      <c r="GLQ1" s="47"/>
      <c r="GLR1" s="47"/>
      <c r="GLS1" s="47"/>
      <c r="GLT1" s="47"/>
      <c r="GLU1" s="47"/>
      <c r="GLV1" s="47"/>
      <c r="GLW1" s="47"/>
      <c r="GLX1" s="47"/>
      <c r="GLY1" s="47"/>
      <c r="GLZ1" s="47"/>
      <c r="GMA1" s="47"/>
      <c r="GMB1" s="47"/>
      <c r="GMC1" s="47"/>
      <c r="GMD1" s="47"/>
      <c r="GME1" s="47"/>
      <c r="GMF1" s="47"/>
      <c r="GMG1" s="47"/>
      <c r="GMH1" s="47"/>
      <c r="GMI1" s="47"/>
      <c r="GMJ1" s="47"/>
      <c r="GMK1" s="47"/>
      <c r="GML1" s="47"/>
      <c r="GMM1" s="47"/>
      <c r="GMN1" s="47"/>
      <c r="GMO1" s="47"/>
      <c r="GMP1" s="47"/>
      <c r="GMQ1" s="47"/>
      <c r="GMR1" s="47"/>
      <c r="GMS1" s="47"/>
      <c r="GMT1" s="47"/>
      <c r="GMU1" s="47"/>
      <c r="GMV1" s="47"/>
      <c r="GMW1" s="47"/>
      <c r="GMX1" s="47"/>
      <c r="GMY1" s="47"/>
      <c r="GMZ1" s="47"/>
      <c r="GNA1" s="47"/>
      <c r="GNB1" s="47"/>
      <c r="GNC1" s="47"/>
      <c r="GND1" s="47"/>
      <c r="GNE1" s="47"/>
      <c r="GNF1" s="47"/>
      <c r="GNG1" s="47"/>
      <c r="GNH1" s="47"/>
      <c r="GNI1" s="47"/>
      <c r="GNJ1" s="47"/>
      <c r="GNK1" s="47"/>
      <c r="GNL1" s="47"/>
      <c r="GNM1" s="47"/>
      <c r="GNN1" s="47"/>
      <c r="GNO1" s="47"/>
      <c r="GNP1" s="47"/>
      <c r="GNQ1" s="47"/>
      <c r="GNR1" s="47"/>
      <c r="GNS1" s="47"/>
      <c r="GNT1" s="47"/>
      <c r="GNU1" s="47"/>
      <c r="GNV1" s="47"/>
      <c r="GNW1" s="47"/>
      <c r="GNX1" s="47"/>
      <c r="GNY1" s="47"/>
      <c r="GNZ1" s="47"/>
      <c r="GOA1" s="47"/>
      <c r="GOB1" s="47"/>
      <c r="GOC1" s="47"/>
      <c r="GOD1" s="47"/>
      <c r="GOE1" s="47"/>
      <c r="GOF1" s="47"/>
      <c r="GOG1" s="47"/>
      <c r="GOH1" s="47"/>
      <c r="GOI1" s="47"/>
      <c r="GOJ1" s="47"/>
      <c r="GOK1" s="47"/>
      <c r="GOL1" s="47"/>
      <c r="GOM1" s="47"/>
      <c r="GON1" s="47"/>
      <c r="GOO1" s="47"/>
      <c r="GOP1" s="47"/>
      <c r="GOQ1" s="47"/>
      <c r="GOR1" s="47"/>
      <c r="GOS1" s="47"/>
      <c r="GOT1" s="47"/>
      <c r="GOU1" s="47"/>
      <c r="GOV1" s="47"/>
      <c r="GOW1" s="47"/>
      <c r="GOX1" s="47"/>
      <c r="GOY1" s="47"/>
      <c r="GOZ1" s="47"/>
      <c r="GPA1" s="47"/>
      <c r="GPB1" s="47"/>
      <c r="GPC1" s="47"/>
      <c r="GPD1" s="47"/>
      <c r="GPE1" s="47"/>
      <c r="GPF1" s="47"/>
      <c r="GPG1" s="47"/>
      <c r="GPH1" s="47"/>
      <c r="GPI1" s="47"/>
      <c r="GPJ1" s="47"/>
      <c r="GPK1" s="47"/>
      <c r="GPL1" s="47"/>
      <c r="GPM1" s="47"/>
      <c r="GPN1" s="47"/>
      <c r="GPO1" s="47"/>
      <c r="GPP1" s="47"/>
      <c r="GPQ1" s="47"/>
      <c r="GPR1" s="47"/>
      <c r="GPS1" s="47"/>
      <c r="GPT1" s="47"/>
      <c r="GPU1" s="47"/>
      <c r="GPV1" s="47"/>
      <c r="GPW1" s="47"/>
      <c r="GPX1" s="47"/>
      <c r="GPY1" s="47"/>
      <c r="GPZ1" s="47"/>
      <c r="GQA1" s="47"/>
      <c r="GQB1" s="47"/>
      <c r="GQC1" s="47"/>
      <c r="GQD1" s="47"/>
      <c r="GQE1" s="47"/>
      <c r="GQF1" s="47"/>
      <c r="GQG1" s="47"/>
      <c r="GQH1" s="47"/>
      <c r="GQI1" s="47"/>
      <c r="GQJ1" s="47"/>
      <c r="GQK1" s="47"/>
      <c r="GQL1" s="47"/>
      <c r="GQM1" s="47"/>
      <c r="GQN1" s="47"/>
      <c r="GQO1" s="47"/>
      <c r="GQP1" s="47"/>
      <c r="GQQ1" s="47"/>
      <c r="GQR1" s="47"/>
      <c r="GQS1" s="47"/>
      <c r="GQT1" s="47"/>
      <c r="GQU1" s="47"/>
      <c r="GQV1" s="47"/>
      <c r="GQW1" s="47"/>
      <c r="GQX1" s="47"/>
      <c r="GQY1" s="47"/>
      <c r="GQZ1" s="47"/>
      <c r="GRA1" s="47"/>
      <c r="GRB1" s="47"/>
      <c r="GRC1" s="47"/>
      <c r="GRD1" s="47"/>
      <c r="GRE1" s="47"/>
      <c r="GRF1" s="47"/>
      <c r="GRG1" s="47"/>
      <c r="GRH1" s="47"/>
      <c r="GRI1" s="47"/>
      <c r="GRJ1" s="47"/>
      <c r="GRK1" s="47"/>
      <c r="GRL1" s="47"/>
      <c r="GRM1" s="47"/>
      <c r="GRN1" s="47"/>
      <c r="GRO1" s="47"/>
      <c r="GRP1" s="47"/>
      <c r="GRQ1" s="47"/>
      <c r="GRR1" s="47"/>
      <c r="GRS1" s="47"/>
      <c r="GRT1" s="47"/>
      <c r="GRU1" s="47"/>
      <c r="GRV1" s="47"/>
      <c r="GRW1" s="47"/>
      <c r="GRX1" s="47"/>
      <c r="GRY1" s="47"/>
      <c r="GRZ1" s="47"/>
      <c r="GSA1" s="47"/>
      <c r="GSB1" s="47"/>
      <c r="GSC1" s="47"/>
      <c r="GSD1" s="47"/>
      <c r="GSE1" s="47"/>
      <c r="GSF1" s="47"/>
      <c r="GSG1" s="47"/>
      <c r="GSH1" s="47"/>
      <c r="GSI1" s="47"/>
      <c r="GSJ1" s="47"/>
      <c r="GSK1" s="47"/>
      <c r="GSL1" s="47"/>
      <c r="GSM1" s="47"/>
      <c r="GSN1" s="47"/>
      <c r="GSO1" s="47"/>
      <c r="GSP1" s="47"/>
      <c r="GSQ1" s="47"/>
      <c r="GSR1" s="47"/>
      <c r="GSS1" s="47"/>
      <c r="GST1" s="47"/>
      <c r="GSU1" s="47"/>
      <c r="GSV1" s="47"/>
      <c r="GSW1" s="47"/>
      <c r="GSX1" s="47"/>
      <c r="GSY1" s="47"/>
      <c r="GSZ1" s="47"/>
      <c r="GTA1" s="47"/>
      <c r="GTB1" s="47"/>
      <c r="GTC1" s="47"/>
      <c r="GTD1" s="47"/>
      <c r="GTE1" s="47"/>
      <c r="GTF1" s="47"/>
      <c r="GTG1" s="47"/>
      <c r="GTH1" s="47"/>
      <c r="GTI1" s="47"/>
      <c r="GTJ1" s="47"/>
      <c r="GTK1" s="47"/>
      <c r="GTL1" s="47"/>
      <c r="GTM1" s="47"/>
      <c r="GTN1" s="47"/>
      <c r="GTO1" s="47"/>
      <c r="GTP1" s="47"/>
      <c r="GTQ1" s="47"/>
      <c r="GTR1" s="47"/>
      <c r="GTS1" s="47"/>
      <c r="GTT1" s="47"/>
      <c r="GTU1" s="47"/>
      <c r="GTV1" s="47"/>
      <c r="GTW1" s="47"/>
      <c r="GTX1" s="47"/>
      <c r="GTY1" s="47"/>
      <c r="GTZ1" s="47"/>
      <c r="GUA1" s="47"/>
      <c r="GUB1" s="47"/>
      <c r="GUC1" s="47"/>
      <c r="GUD1" s="47"/>
      <c r="GUE1" s="47"/>
      <c r="GUF1" s="47"/>
      <c r="GUG1" s="47"/>
      <c r="GUH1" s="47"/>
      <c r="GUI1" s="47"/>
      <c r="GUJ1" s="47"/>
      <c r="GUK1" s="47"/>
      <c r="GUL1" s="47"/>
      <c r="GUM1" s="47"/>
      <c r="GUN1" s="47"/>
      <c r="GUO1" s="47"/>
      <c r="GUP1" s="47"/>
      <c r="GUQ1" s="47"/>
      <c r="GUR1" s="47"/>
      <c r="GUS1" s="47"/>
      <c r="GUT1" s="47"/>
      <c r="GUU1" s="47"/>
      <c r="GUV1" s="47"/>
      <c r="GUW1" s="47"/>
      <c r="GUX1" s="47"/>
      <c r="GUY1" s="47"/>
      <c r="GUZ1" s="47"/>
      <c r="GVA1" s="47"/>
      <c r="GVB1" s="47"/>
      <c r="GVC1" s="47"/>
      <c r="GVD1" s="47"/>
      <c r="GVE1" s="47"/>
      <c r="GVF1" s="47"/>
      <c r="GVG1" s="47"/>
      <c r="GVH1" s="47"/>
      <c r="GVI1" s="47"/>
      <c r="GVJ1" s="47"/>
      <c r="GVK1" s="47"/>
      <c r="GVL1" s="47"/>
      <c r="GVM1" s="47"/>
      <c r="GVN1" s="47"/>
      <c r="GVO1" s="47"/>
      <c r="GVP1" s="47"/>
      <c r="GVQ1" s="47"/>
      <c r="GVR1" s="47"/>
      <c r="GVS1" s="47"/>
      <c r="GVT1" s="47"/>
      <c r="GVU1" s="47"/>
      <c r="GVV1" s="47"/>
      <c r="GVW1" s="47"/>
      <c r="GVX1" s="47"/>
      <c r="GVY1" s="47"/>
      <c r="GVZ1" s="47"/>
      <c r="GWA1" s="47"/>
      <c r="GWB1" s="47"/>
      <c r="GWC1" s="47"/>
      <c r="GWD1" s="47"/>
      <c r="GWE1" s="47"/>
      <c r="GWF1" s="47"/>
      <c r="GWG1" s="47"/>
      <c r="GWH1" s="47"/>
      <c r="GWI1" s="47"/>
      <c r="GWJ1" s="47"/>
      <c r="GWK1" s="47"/>
      <c r="GWL1" s="47"/>
      <c r="GWM1" s="47"/>
      <c r="GWN1" s="47"/>
      <c r="GWO1" s="47"/>
      <c r="GWP1" s="47"/>
      <c r="GWQ1" s="47"/>
      <c r="GWR1" s="47"/>
      <c r="GWS1" s="47"/>
      <c r="GWT1" s="47"/>
      <c r="GWU1" s="47"/>
      <c r="GWV1" s="47"/>
      <c r="GWW1" s="47"/>
      <c r="GWX1" s="47"/>
      <c r="GWY1" s="47"/>
      <c r="GWZ1" s="47"/>
      <c r="GXA1" s="47"/>
      <c r="GXB1" s="47"/>
      <c r="GXC1" s="47"/>
      <c r="GXD1" s="47"/>
      <c r="GXE1" s="47"/>
      <c r="GXF1" s="47"/>
      <c r="GXG1" s="47"/>
      <c r="GXH1" s="47"/>
      <c r="GXI1" s="47"/>
      <c r="GXJ1" s="47"/>
      <c r="GXK1" s="47"/>
      <c r="GXL1" s="47"/>
      <c r="GXM1" s="47"/>
      <c r="GXN1" s="47"/>
      <c r="GXO1" s="47"/>
      <c r="GXP1" s="47"/>
      <c r="GXQ1" s="47"/>
      <c r="GXR1" s="47"/>
      <c r="GXS1" s="47"/>
      <c r="GXT1" s="47"/>
      <c r="GXU1" s="47"/>
      <c r="GXV1" s="47"/>
      <c r="GXW1" s="47"/>
      <c r="GXX1" s="47"/>
      <c r="GXY1" s="47"/>
      <c r="GXZ1" s="47"/>
      <c r="GYA1" s="47"/>
      <c r="GYB1" s="47"/>
      <c r="GYC1" s="47"/>
      <c r="GYD1" s="47"/>
      <c r="GYE1" s="47"/>
      <c r="GYF1" s="47"/>
      <c r="GYG1" s="47"/>
      <c r="GYH1" s="47"/>
      <c r="GYI1" s="47"/>
      <c r="GYJ1" s="47"/>
      <c r="GYK1" s="47"/>
      <c r="GYL1" s="47"/>
      <c r="GYM1" s="47"/>
      <c r="GYN1" s="47"/>
      <c r="GYO1" s="47"/>
      <c r="GYP1" s="47"/>
      <c r="GYQ1" s="47"/>
      <c r="GYR1" s="47"/>
      <c r="GYS1" s="47"/>
      <c r="GYT1" s="47"/>
      <c r="GYU1" s="47"/>
      <c r="GYV1" s="47"/>
      <c r="GYW1" s="47"/>
      <c r="GYX1" s="47"/>
      <c r="GYY1" s="47"/>
      <c r="GYZ1" s="47"/>
      <c r="GZA1" s="47"/>
      <c r="GZB1" s="47"/>
      <c r="GZC1" s="47"/>
      <c r="GZD1" s="47"/>
      <c r="GZE1" s="47"/>
      <c r="GZF1" s="47"/>
      <c r="GZG1" s="47"/>
      <c r="GZH1" s="47"/>
      <c r="GZI1" s="47"/>
      <c r="GZJ1" s="47"/>
      <c r="GZK1" s="47"/>
      <c r="GZL1" s="47"/>
      <c r="GZM1" s="47"/>
      <c r="GZN1" s="47"/>
      <c r="GZO1" s="47"/>
      <c r="GZP1" s="47"/>
      <c r="GZQ1" s="47"/>
      <c r="GZR1" s="47"/>
      <c r="GZS1" s="47"/>
      <c r="GZT1" s="47"/>
      <c r="GZU1" s="47"/>
      <c r="GZV1" s="47"/>
      <c r="GZW1" s="47"/>
      <c r="GZX1" s="47"/>
      <c r="GZY1" s="47"/>
      <c r="GZZ1" s="47"/>
      <c r="HAA1" s="47"/>
      <c r="HAB1" s="47"/>
      <c r="HAC1" s="47"/>
      <c r="HAD1" s="47"/>
      <c r="HAE1" s="47"/>
      <c r="HAF1" s="47"/>
      <c r="HAG1" s="47"/>
      <c r="HAH1" s="47"/>
      <c r="HAI1" s="47"/>
      <c r="HAJ1" s="47"/>
      <c r="HAK1" s="47"/>
      <c r="HAL1" s="47"/>
      <c r="HAM1" s="47"/>
      <c r="HAN1" s="47"/>
      <c r="HAO1" s="47"/>
      <c r="HAP1" s="47"/>
      <c r="HAQ1" s="47"/>
      <c r="HAR1" s="47"/>
      <c r="HAS1" s="47"/>
      <c r="HAT1" s="47"/>
      <c r="HAU1" s="47"/>
      <c r="HAV1" s="47"/>
      <c r="HAW1" s="47"/>
      <c r="HAX1" s="47"/>
      <c r="HAY1" s="47"/>
      <c r="HAZ1" s="47"/>
      <c r="HBA1" s="47"/>
      <c r="HBB1" s="47"/>
      <c r="HBC1" s="47"/>
      <c r="HBD1" s="47"/>
      <c r="HBE1" s="47"/>
      <c r="HBF1" s="47"/>
      <c r="HBG1" s="47"/>
      <c r="HBH1" s="47"/>
      <c r="HBI1" s="47"/>
      <c r="HBJ1" s="47"/>
      <c r="HBK1" s="47"/>
      <c r="HBL1" s="47"/>
      <c r="HBM1" s="47"/>
      <c r="HBN1" s="47"/>
      <c r="HBO1" s="47"/>
      <c r="HBP1" s="47"/>
      <c r="HBQ1" s="47"/>
      <c r="HBR1" s="47"/>
      <c r="HBS1" s="47"/>
      <c r="HBT1" s="47"/>
      <c r="HBU1" s="47"/>
      <c r="HBV1" s="47"/>
      <c r="HBW1" s="47"/>
      <c r="HBX1" s="47"/>
      <c r="HBY1" s="47"/>
      <c r="HBZ1" s="47"/>
      <c r="HCA1" s="47"/>
      <c r="HCB1" s="47"/>
      <c r="HCC1" s="47"/>
      <c r="HCD1" s="47"/>
      <c r="HCE1" s="47"/>
      <c r="HCF1" s="47"/>
      <c r="HCG1" s="47"/>
      <c r="HCH1" s="47"/>
      <c r="HCI1" s="47"/>
      <c r="HCJ1" s="47"/>
      <c r="HCK1" s="47"/>
      <c r="HCL1" s="47"/>
      <c r="HCM1" s="47"/>
      <c r="HCN1" s="47"/>
      <c r="HCO1" s="47"/>
      <c r="HCP1" s="47"/>
      <c r="HCQ1" s="47"/>
      <c r="HCR1" s="47"/>
      <c r="HCS1" s="47"/>
      <c r="HCT1" s="47"/>
      <c r="HCU1" s="47"/>
      <c r="HCV1" s="47"/>
      <c r="HCW1" s="47"/>
      <c r="HCX1" s="47"/>
      <c r="HCY1" s="47"/>
      <c r="HCZ1" s="47"/>
      <c r="HDA1" s="47"/>
      <c r="HDB1" s="47"/>
      <c r="HDC1" s="47"/>
      <c r="HDD1" s="47"/>
      <c r="HDE1" s="47"/>
      <c r="HDF1" s="47"/>
      <c r="HDG1" s="47"/>
      <c r="HDH1" s="47"/>
      <c r="HDI1" s="47"/>
      <c r="HDJ1" s="47"/>
      <c r="HDK1" s="47"/>
      <c r="HDL1" s="47"/>
      <c r="HDM1" s="47"/>
      <c r="HDN1" s="47"/>
      <c r="HDO1" s="47"/>
      <c r="HDP1" s="47"/>
      <c r="HDQ1" s="47"/>
      <c r="HDR1" s="47"/>
      <c r="HDS1" s="47"/>
      <c r="HDT1" s="47"/>
      <c r="HDU1" s="47"/>
      <c r="HDV1" s="47"/>
      <c r="HDW1" s="47"/>
      <c r="HDX1" s="47"/>
      <c r="HDY1" s="47"/>
      <c r="HDZ1" s="47"/>
      <c r="HEA1" s="47"/>
      <c r="HEB1" s="47"/>
      <c r="HEC1" s="47"/>
      <c r="HED1" s="47"/>
      <c r="HEE1" s="47"/>
      <c r="HEF1" s="47"/>
      <c r="HEG1" s="47"/>
      <c r="HEH1" s="47"/>
      <c r="HEI1" s="47"/>
      <c r="HEJ1" s="47"/>
      <c r="HEK1" s="47"/>
      <c r="HEL1" s="47"/>
      <c r="HEM1" s="47"/>
      <c r="HEN1" s="47"/>
      <c r="HEO1" s="47"/>
      <c r="HEP1" s="47"/>
      <c r="HEQ1" s="47"/>
      <c r="HER1" s="47"/>
      <c r="HES1" s="47"/>
      <c r="HET1" s="47"/>
      <c r="HEU1" s="47"/>
      <c r="HEV1" s="47"/>
      <c r="HEW1" s="47"/>
      <c r="HEX1" s="47"/>
      <c r="HEY1" s="47"/>
      <c r="HEZ1" s="47"/>
      <c r="HFA1" s="47"/>
      <c r="HFB1" s="47"/>
      <c r="HFC1" s="47"/>
      <c r="HFD1" s="47"/>
      <c r="HFE1" s="47"/>
      <c r="HFF1" s="47"/>
      <c r="HFG1" s="47"/>
      <c r="HFH1" s="47"/>
      <c r="HFI1" s="47"/>
      <c r="HFJ1" s="47"/>
      <c r="HFK1" s="47"/>
      <c r="HFL1" s="47"/>
      <c r="HFM1" s="47"/>
      <c r="HFN1" s="47"/>
      <c r="HFO1" s="47"/>
      <c r="HFP1" s="47"/>
      <c r="HFQ1" s="47"/>
      <c r="HFR1" s="47"/>
      <c r="HFS1" s="47"/>
      <c r="HFT1" s="47"/>
      <c r="HFU1" s="47"/>
      <c r="HFV1" s="47"/>
      <c r="HFW1" s="47"/>
      <c r="HFX1" s="47"/>
      <c r="HFY1" s="47"/>
      <c r="HFZ1" s="47"/>
      <c r="HGA1" s="47"/>
      <c r="HGB1" s="47"/>
      <c r="HGC1" s="47"/>
      <c r="HGD1" s="47"/>
      <c r="HGE1" s="47"/>
      <c r="HGF1" s="47"/>
      <c r="HGG1" s="47"/>
      <c r="HGH1" s="47"/>
      <c r="HGI1" s="47"/>
      <c r="HGJ1" s="47"/>
      <c r="HGK1" s="47"/>
      <c r="HGL1" s="47"/>
      <c r="HGM1" s="47"/>
      <c r="HGN1" s="47"/>
      <c r="HGO1" s="47"/>
      <c r="HGP1" s="47"/>
      <c r="HGQ1" s="47"/>
      <c r="HGR1" s="47"/>
      <c r="HGS1" s="47"/>
      <c r="HGT1" s="47"/>
      <c r="HGU1" s="47"/>
      <c r="HGV1" s="47"/>
      <c r="HGW1" s="47"/>
      <c r="HGX1" s="47"/>
      <c r="HGY1" s="47"/>
      <c r="HGZ1" s="47"/>
      <c r="HHA1" s="47"/>
      <c r="HHB1" s="47"/>
      <c r="HHC1" s="47"/>
      <c r="HHD1" s="47"/>
      <c r="HHE1" s="47"/>
      <c r="HHF1" s="47"/>
      <c r="HHG1" s="47"/>
      <c r="HHH1" s="47"/>
      <c r="HHI1" s="47"/>
      <c r="HHJ1" s="47"/>
      <c r="HHK1" s="47"/>
      <c r="HHL1" s="47"/>
      <c r="HHM1" s="47"/>
      <c r="HHN1" s="47"/>
      <c r="HHO1" s="47"/>
      <c r="HHP1" s="47"/>
      <c r="HHQ1" s="47"/>
      <c r="HHR1" s="47"/>
      <c r="HHS1" s="47"/>
      <c r="HHT1" s="47"/>
      <c r="HHU1" s="47"/>
      <c r="HHV1" s="47"/>
      <c r="HHW1" s="47"/>
      <c r="HHX1" s="47"/>
      <c r="HHY1" s="47"/>
      <c r="HHZ1" s="47"/>
      <c r="HIA1" s="47"/>
      <c r="HIB1" s="47"/>
      <c r="HIC1" s="47"/>
      <c r="HID1" s="47"/>
      <c r="HIE1" s="47"/>
      <c r="HIF1" s="47"/>
      <c r="HIG1" s="47"/>
      <c r="HIH1" s="47"/>
      <c r="HII1" s="47"/>
      <c r="HIJ1" s="47"/>
      <c r="HIK1" s="47"/>
      <c r="HIL1" s="47"/>
      <c r="HIM1" s="47"/>
      <c r="HIN1" s="47"/>
      <c r="HIO1" s="47"/>
      <c r="HIP1" s="47"/>
      <c r="HIQ1" s="47"/>
      <c r="HIR1" s="47"/>
      <c r="HIS1" s="47"/>
      <c r="HIT1" s="47"/>
      <c r="HIU1" s="47"/>
      <c r="HIV1" s="47"/>
      <c r="HIW1" s="47"/>
      <c r="HIX1" s="47"/>
      <c r="HIY1" s="47"/>
      <c r="HIZ1" s="47"/>
      <c r="HJA1" s="47"/>
      <c r="HJB1" s="47"/>
      <c r="HJC1" s="47"/>
      <c r="HJD1" s="47"/>
      <c r="HJE1" s="47"/>
      <c r="HJF1" s="47"/>
      <c r="HJG1" s="47"/>
      <c r="HJH1" s="47"/>
      <c r="HJI1" s="47"/>
      <c r="HJJ1" s="47"/>
      <c r="HJK1" s="47"/>
      <c r="HJL1" s="47"/>
      <c r="HJM1" s="47"/>
      <c r="HJN1" s="47"/>
      <c r="HJO1" s="47"/>
      <c r="HJP1" s="47"/>
      <c r="HJQ1" s="47"/>
      <c r="HJR1" s="47"/>
      <c r="HJS1" s="47"/>
      <c r="HJT1" s="47"/>
      <c r="HJU1" s="47"/>
      <c r="HJV1" s="47"/>
      <c r="HJW1" s="47"/>
      <c r="HJX1" s="47"/>
      <c r="HJY1" s="47"/>
      <c r="HJZ1" s="47"/>
      <c r="HKA1" s="47"/>
      <c r="HKB1" s="47"/>
      <c r="HKC1" s="47"/>
      <c r="HKD1" s="47"/>
      <c r="HKE1" s="47"/>
      <c r="HKF1" s="47"/>
      <c r="HKG1" s="47"/>
      <c r="HKH1" s="47"/>
      <c r="HKI1" s="47"/>
      <c r="HKJ1" s="47"/>
      <c r="HKK1" s="47"/>
      <c r="HKL1" s="47"/>
      <c r="HKM1" s="47"/>
      <c r="HKN1" s="47"/>
      <c r="HKO1" s="47"/>
      <c r="HKP1" s="47"/>
      <c r="HKQ1" s="47"/>
      <c r="HKR1" s="47"/>
      <c r="HKS1" s="47"/>
      <c r="HKT1" s="47"/>
      <c r="HKU1" s="47"/>
      <c r="HKV1" s="47"/>
      <c r="HKW1" s="47"/>
      <c r="HKX1" s="47"/>
      <c r="HKY1" s="47"/>
      <c r="HKZ1" s="47"/>
      <c r="HLA1" s="47"/>
      <c r="HLB1" s="47"/>
      <c r="HLC1" s="47"/>
      <c r="HLD1" s="47"/>
      <c r="HLE1" s="47"/>
      <c r="HLF1" s="47"/>
      <c r="HLG1" s="47"/>
      <c r="HLH1" s="47"/>
      <c r="HLI1" s="47"/>
      <c r="HLJ1" s="47"/>
      <c r="HLK1" s="47"/>
      <c r="HLL1" s="47"/>
      <c r="HLM1" s="47"/>
      <c r="HLN1" s="47"/>
      <c r="HLO1" s="47"/>
      <c r="HLP1" s="47"/>
      <c r="HLQ1" s="47"/>
      <c r="HLR1" s="47"/>
      <c r="HLS1" s="47"/>
      <c r="HLT1" s="47"/>
      <c r="HLU1" s="47"/>
      <c r="HLV1" s="47"/>
      <c r="HLW1" s="47"/>
      <c r="HLX1" s="47"/>
      <c r="HLY1" s="47"/>
      <c r="HLZ1" s="47"/>
      <c r="HMA1" s="47"/>
      <c r="HMB1" s="47"/>
      <c r="HMC1" s="47"/>
      <c r="HMD1" s="47"/>
      <c r="HME1" s="47"/>
      <c r="HMF1" s="47"/>
      <c r="HMG1" s="47"/>
      <c r="HMH1" s="47"/>
      <c r="HMI1" s="47"/>
      <c r="HMJ1" s="47"/>
      <c r="HMK1" s="47"/>
      <c r="HML1" s="47"/>
      <c r="HMM1" s="47"/>
      <c r="HMN1" s="47"/>
      <c r="HMO1" s="47"/>
      <c r="HMP1" s="47"/>
      <c r="HMQ1" s="47"/>
      <c r="HMR1" s="47"/>
      <c r="HMS1" s="47"/>
      <c r="HMT1" s="47"/>
      <c r="HMU1" s="47"/>
      <c r="HMV1" s="47"/>
      <c r="HMW1" s="47"/>
      <c r="HMX1" s="47"/>
      <c r="HMY1" s="47"/>
      <c r="HMZ1" s="47"/>
      <c r="HNA1" s="47"/>
      <c r="HNB1" s="47"/>
      <c r="HNC1" s="47"/>
      <c r="HND1" s="47"/>
      <c r="HNE1" s="47"/>
      <c r="HNF1" s="47"/>
      <c r="HNG1" s="47"/>
      <c r="HNH1" s="47"/>
      <c r="HNI1" s="47"/>
      <c r="HNJ1" s="47"/>
      <c r="HNK1" s="47"/>
      <c r="HNL1" s="47"/>
      <c r="HNM1" s="47"/>
      <c r="HNN1" s="47"/>
      <c r="HNO1" s="47"/>
      <c r="HNP1" s="47"/>
      <c r="HNQ1" s="47"/>
      <c r="HNR1" s="47"/>
      <c r="HNS1" s="47"/>
      <c r="HNT1" s="47"/>
      <c r="HNU1" s="47"/>
      <c r="HNV1" s="47"/>
      <c r="HNW1" s="47"/>
      <c r="HNX1" s="47"/>
      <c r="HNY1" s="47"/>
      <c r="HNZ1" s="47"/>
      <c r="HOA1" s="47"/>
      <c r="HOB1" s="47"/>
      <c r="HOC1" s="47"/>
      <c r="HOD1" s="47"/>
      <c r="HOE1" s="47"/>
      <c r="HOF1" s="47"/>
      <c r="HOG1" s="47"/>
      <c r="HOH1" s="47"/>
      <c r="HOI1" s="47"/>
      <c r="HOJ1" s="47"/>
      <c r="HOK1" s="47"/>
      <c r="HOL1" s="47"/>
      <c r="HOM1" s="47"/>
      <c r="HON1" s="47"/>
      <c r="HOO1" s="47"/>
      <c r="HOP1" s="47"/>
      <c r="HOQ1" s="47"/>
      <c r="HOR1" s="47"/>
      <c r="HOS1" s="47"/>
      <c r="HOT1" s="47"/>
      <c r="HOU1" s="47"/>
      <c r="HOV1" s="47"/>
      <c r="HOW1" s="47"/>
      <c r="HOX1" s="47"/>
      <c r="HOY1" s="47"/>
      <c r="HOZ1" s="47"/>
      <c r="HPA1" s="47"/>
      <c r="HPB1" s="47"/>
      <c r="HPC1" s="47"/>
      <c r="HPD1" s="47"/>
      <c r="HPE1" s="47"/>
      <c r="HPF1" s="47"/>
      <c r="HPG1" s="47"/>
      <c r="HPH1" s="47"/>
      <c r="HPI1" s="47"/>
      <c r="HPJ1" s="47"/>
      <c r="HPK1" s="47"/>
      <c r="HPL1" s="47"/>
      <c r="HPM1" s="47"/>
      <c r="HPN1" s="47"/>
      <c r="HPO1" s="47"/>
      <c r="HPP1" s="47"/>
      <c r="HPQ1" s="47"/>
      <c r="HPR1" s="47"/>
      <c r="HPS1" s="47"/>
      <c r="HPT1" s="47"/>
      <c r="HPU1" s="47"/>
      <c r="HPV1" s="47"/>
      <c r="HPW1" s="47"/>
      <c r="HPX1" s="47"/>
      <c r="HPY1" s="47"/>
      <c r="HPZ1" s="47"/>
      <c r="HQA1" s="47"/>
      <c r="HQB1" s="47"/>
      <c r="HQC1" s="47"/>
      <c r="HQD1" s="47"/>
      <c r="HQE1" s="47"/>
      <c r="HQF1" s="47"/>
      <c r="HQG1" s="47"/>
      <c r="HQH1" s="47"/>
      <c r="HQI1" s="47"/>
      <c r="HQJ1" s="47"/>
      <c r="HQK1" s="47"/>
      <c r="HQL1" s="47"/>
      <c r="HQM1" s="47"/>
      <c r="HQN1" s="47"/>
      <c r="HQO1" s="47"/>
      <c r="HQP1" s="47"/>
      <c r="HQQ1" s="47"/>
      <c r="HQR1" s="47"/>
      <c r="HQS1" s="47"/>
      <c r="HQT1" s="47"/>
      <c r="HQU1" s="47"/>
      <c r="HQV1" s="47"/>
      <c r="HQW1" s="47"/>
      <c r="HQX1" s="47"/>
      <c r="HQY1" s="47"/>
      <c r="HQZ1" s="47"/>
      <c r="HRA1" s="47"/>
      <c r="HRB1" s="47"/>
      <c r="HRC1" s="47"/>
      <c r="HRD1" s="47"/>
      <c r="HRE1" s="47"/>
      <c r="HRF1" s="47"/>
      <c r="HRG1" s="47"/>
      <c r="HRH1" s="47"/>
      <c r="HRI1" s="47"/>
      <c r="HRJ1" s="47"/>
      <c r="HRK1" s="47"/>
      <c r="HRL1" s="47"/>
      <c r="HRM1" s="47"/>
      <c r="HRN1" s="47"/>
      <c r="HRO1" s="47"/>
      <c r="HRP1" s="47"/>
      <c r="HRQ1" s="47"/>
      <c r="HRR1" s="47"/>
      <c r="HRS1" s="47"/>
      <c r="HRT1" s="47"/>
      <c r="HRU1" s="47"/>
      <c r="HRV1" s="47"/>
      <c r="HRW1" s="47"/>
      <c r="HRX1" s="47"/>
      <c r="HRY1" s="47"/>
      <c r="HRZ1" s="47"/>
      <c r="HSA1" s="47"/>
      <c r="HSB1" s="47"/>
      <c r="HSC1" s="47"/>
      <c r="HSD1" s="47"/>
      <c r="HSE1" s="47"/>
      <c r="HSF1" s="47"/>
      <c r="HSG1" s="47"/>
      <c r="HSH1" s="47"/>
      <c r="HSI1" s="47"/>
      <c r="HSJ1" s="47"/>
      <c r="HSK1" s="47"/>
      <c r="HSL1" s="47"/>
      <c r="HSM1" s="47"/>
      <c r="HSN1" s="47"/>
      <c r="HSO1" s="47"/>
      <c r="HSP1" s="47"/>
      <c r="HSQ1" s="47"/>
      <c r="HSR1" s="47"/>
      <c r="HSS1" s="47"/>
      <c r="HST1" s="47"/>
      <c r="HSU1" s="47"/>
      <c r="HSV1" s="47"/>
      <c r="HSW1" s="47"/>
      <c r="HSX1" s="47"/>
      <c r="HSY1" s="47"/>
      <c r="HSZ1" s="47"/>
      <c r="HTA1" s="47"/>
      <c r="HTB1" s="47"/>
      <c r="HTC1" s="47"/>
      <c r="HTD1" s="47"/>
      <c r="HTE1" s="47"/>
      <c r="HTF1" s="47"/>
      <c r="HTG1" s="47"/>
      <c r="HTH1" s="47"/>
      <c r="HTI1" s="47"/>
      <c r="HTJ1" s="47"/>
      <c r="HTK1" s="47"/>
      <c r="HTL1" s="47"/>
      <c r="HTM1" s="47"/>
      <c r="HTN1" s="47"/>
      <c r="HTO1" s="47"/>
      <c r="HTP1" s="47"/>
      <c r="HTQ1" s="47"/>
      <c r="HTR1" s="47"/>
      <c r="HTS1" s="47"/>
      <c r="HTT1" s="47"/>
      <c r="HTU1" s="47"/>
      <c r="HTV1" s="47"/>
      <c r="HTW1" s="47"/>
      <c r="HTX1" s="47"/>
      <c r="HTY1" s="47"/>
      <c r="HTZ1" s="47"/>
      <c r="HUA1" s="47"/>
      <c r="HUB1" s="47"/>
      <c r="HUC1" s="47"/>
      <c r="HUD1" s="47"/>
      <c r="HUE1" s="47"/>
      <c r="HUF1" s="47"/>
      <c r="HUG1" s="47"/>
      <c r="HUH1" s="47"/>
      <c r="HUI1" s="47"/>
      <c r="HUJ1" s="47"/>
      <c r="HUK1" s="47"/>
      <c r="HUL1" s="47"/>
      <c r="HUM1" s="47"/>
      <c r="HUN1" s="47"/>
      <c r="HUO1" s="47"/>
      <c r="HUP1" s="47"/>
      <c r="HUQ1" s="47"/>
      <c r="HUR1" s="47"/>
      <c r="HUS1" s="47"/>
      <c r="HUT1" s="47"/>
      <c r="HUU1" s="47"/>
      <c r="HUV1" s="47"/>
      <c r="HUW1" s="47"/>
      <c r="HUX1" s="47"/>
      <c r="HUY1" s="47"/>
      <c r="HUZ1" s="47"/>
      <c r="HVA1" s="47"/>
      <c r="HVB1" s="47"/>
      <c r="HVC1" s="47"/>
      <c r="HVD1" s="47"/>
      <c r="HVE1" s="47"/>
      <c r="HVF1" s="47"/>
      <c r="HVG1" s="47"/>
      <c r="HVH1" s="47"/>
      <c r="HVI1" s="47"/>
      <c r="HVJ1" s="47"/>
      <c r="HVK1" s="47"/>
      <c r="HVL1" s="47"/>
      <c r="HVM1" s="47"/>
      <c r="HVN1" s="47"/>
      <c r="HVO1" s="47"/>
      <c r="HVP1" s="47"/>
      <c r="HVQ1" s="47"/>
      <c r="HVR1" s="47"/>
      <c r="HVS1" s="47"/>
      <c r="HVT1" s="47"/>
      <c r="HVU1" s="47"/>
      <c r="HVV1" s="47"/>
      <c r="HVW1" s="47"/>
      <c r="HVX1" s="47"/>
      <c r="HVY1" s="47"/>
      <c r="HVZ1" s="47"/>
      <c r="HWA1" s="47"/>
      <c r="HWB1" s="47"/>
      <c r="HWC1" s="47"/>
      <c r="HWD1" s="47"/>
      <c r="HWE1" s="47"/>
      <c r="HWF1" s="47"/>
      <c r="HWG1" s="47"/>
      <c r="HWH1" s="47"/>
      <c r="HWI1" s="47"/>
      <c r="HWJ1" s="47"/>
      <c r="HWK1" s="47"/>
      <c r="HWL1" s="47"/>
      <c r="HWM1" s="47"/>
      <c r="HWN1" s="47"/>
      <c r="HWO1" s="47"/>
      <c r="HWP1" s="47"/>
      <c r="HWQ1" s="47"/>
      <c r="HWR1" s="47"/>
      <c r="HWS1" s="47"/>
      <c r="HWT1" s="47"/>
      <c r="HWU1" s="47"/>
      <c r="HWV1" s="47"/>
      <c r="HWW1" s="47"/>
      <c r="HWX1" s="47"/>
      <c r="HWY1" s="47"/>
      <c r="HWZ1" s="47"/>
      <c r="HXA1" s="47"/>
      <c r="HXB1" s="47"/>
      <c r="HXC1" s="47"/>
      <c r="HXD1" s="47"/>
      <c r="HXE1" s="47"/>
      <c r="HXF1" s="47"/>
      <c r="HXG1" s="47"/>
      <c r="HXH1" s="47"/>
      <c r="HXI1" s="47"/>
      <c r="HXJ1" s="47"/>
      <c r="HXK1" s="47"/>
      <c r="HXL1" s="47"/>
      <c r="HXM1" s="47"/>
      <c r="HXN1" s="47"/>
      <c r="HXO1" s="47"/>
      <c r="HXP1" s="47"/>
      <c r="HXQ1" s="47"/>
      <c r="HXR1" s="47"/>
      <c r="HXS1" s="47"/>
      <c r="HXT1" s="47"/>
      <c r="HXU1" s="47"/>
      <c r="HXV1" s="47"/>
      <c r="HXW1" s="47"/>
      <c r="HXX1" s="47"/>
      <c r="HXY1" s="47"/>
      <c r="HXZ1" s="47"/>
      <c r="HYA1" s="47"/>
      <c r="HYB1" s="47"/>
      <c r="HYC1" s="47"/>
      <c r="HYD1" s="47"/>
      <c r="HYE1" s="47"/>
      <c r="HYF1" s="47"/>
      <c r="HYG1" s="47"/>
      <c r="HYH1" s="47"/>
      <c r="HYI1" s="47"/>
      <c r="HYJ1" s="47"/>
      <c r="HYK1" s="47"/>
      <c r="HYL1" s="47"/>
      <c r="HYM1" s="47"/>
      <c r="HYN1" s="47"/>
      <c r="HYO1" s="47"/>
      <c r="HYP1" s="47"/>
      <c r="HYQ1" s="47"/>
      <c r="HYR1" s="47"/>
      <c r="HYS1" s="47"/>
      <c r="HYT1" s="47"/>
      <c r="HYU1" s="47"/>
      <c r="HYV1" s="47"/>
      <c r="HYW1" s="47"/>
      <c r="HYX1" s="47"/>
      <c r="HYY1" s="47"/>
      <c r="HYZ1" s="47"/>
      <c r="HZA1" s="47"/>
      <c r="HZB1" s="47"/>
      <c r="HZC1" s="47"/>
      <c r="HZD1" s="47"/>
      <c r="HZE1" s="47"/>
      <c r="HZF1" s="47"/>
      <c r="HZG1" s="47"/>
      <c r="HZH1" s="47"/>
      <c r="HZI1" s="47"/>
      <c r="HZJ1" s="47"/>
      <c r="HZK1" s="47"/>
      <c r="HZL1" s="47"/>
      <c r="HZM1" s="47"/>
      <c r="HZN1" s="47"/>
      <c r="HZO1" s="47"/>
      <c r="HZP1" s="47"/>
      <c r="HZQ1" s="47"/>
      <c r="HZR1" s="47"/>
      <c r="HZS1" s="47"/>
      <c r="HZT1" s="47"/>
      <c r="HZU1" s="47"/>
      <c r="HZV1" s="47"/>
      <c r="HZW1" s="47"/>
      <c r="HZX1" s="47"/>
      <c r="HZY1" s="47"/>
      <c r="HZZ1" s="47"/>
      <c r="IAA1" s="47"/>
      <c r="IAB1" s="47"/>
      <c r="IAC1" s="47"/>
      <c r="IAD1" s="47"/>
      <c r="IAE1" s="47"/>
      <c r="IAF1" s="47"/>
      <c r="IAG1" s="47"/>
      <c r="IAH1" s="47"/>
      <c r="IAI1" s="47"/>
      <c r="IAJ1" s="47"/>
      <c r="IAK1" s="47"/>
      <c r="IAL1" s="47"/>
      <c r="IAM1" s="47"/>
      <c r="IAN1" s="47"/>
      <c r="IAO1" s="47"/>
      <c r="IAP1" s="47"/>
      <c r="IAQ1" s="47"/>
      <c r="IAR1" s="47"/>
      <c r="IAS1" s="47"/>
      <c r="IAT1" s="47"/>
      <c r="IAU1" s="47"/>
      <c r="IAV1" s="47"/>
      <c r="IAW1" s="47"/>
      <c r="IAX1" s="47"/>
      <c r="IAY1" s="47"/>
      <c r="IAZ1" s="47"/>
      <c r="IBA1" s="47"/>
      <c r="IBB1" s="47"/>
      <c r="IBC1" s="47"/>
      <c r="IBD1" s="47"/>
      <c r="IBE1" s="47"/>
      <c r="IBF1" s="47"/>
      <c r="IBG1" s="47"/>
      <c r="IBH1" s="47"/>
      <c r="IBI1" s="47"/>
      <c r="IBJ1" s="47"/>
      <c r="IBK1" s="47"/>
      <c r="IBL1" s="47"/>
      <c r="IBM1" s="47"/>
      <c r="IBN1" s="47"/>
      <c r="IBO1" s="47"/>
      <c r="IBP1" s="47"/>
      <c r="IBQ1" s="47"/>
      <c r="IBR1" s="47"/>
      <c r="IBS1" s="47"/>
      <c r="IBT1" s="47"/>
      <c r="IBU1" s="47"/>
      <c r="IBV1" s="47"/>
      <c r="IBW1" s="47"/>
      <c r="IBX1" s="47"/>
      <c r="IBY1" s="47"/>
      <c r="IBZ1" s="47"/>
      <c r="ICA1" s="47"/>
      <c r="ICB1" s="47"/>
      <c r="ICC1" s="47"/>
      <c r="ICD1" s="47"/>
      <c r="ICE1" s="47"/>
      <c r="ICF1" s="47"/>
      <c r="ICG1" s="47"/>
      <c r="ICH1" s="47"/>
      <c r="ICI1" s="47"/>
      <c r="ICJ1" s="47"/>
      <c r="ICK1" s="47"/>
      <c r="ICL1" s="47"/>
      <c r="ICM1" s="47"/>
      <c r="ICN1" s="47"/>
      <c r="ICO1" s="47"/>
      <c r="ICP1" s="47"/>
      <c r="ICQ1" s="47"/>
      <c r="ICR1" s="47"/>
      <c r="ICS1" s="47"/>
      <c r="ICT1" s="47"/>
      <c r="ICU1" s="47"/>
      <c r="ICV1" s="47"/>
      <c r="ICW1" s="47"/>
      <c r="ICX1" s="47"/>
      <c r="ICY1" s="47"/>
      <c r="ICZ1" s="47"/>
      <c r="IDA1" s="47"/>
      <c r="IDB1" s="47"/>
      <c r="IDC1" s="47"/>
      <c r="IDD1" s="47"/>
      <c r="IDE1" s="47"/>
      <c r="IDF1" s="47"/>
      <c r="IDG1" s="47"/>
      <c r="IDH1" s="47"/>
      <c r="IDI1" s="47"/>
      <c r="IDJ1" s="47"/>
      <c r="IDK1" s="47"/>
      <c r="IDL1" s="47"/>
      <c r="IDM1" s="47"/>
      <c r="IDN1" s="47"/>
      <c r="IDO1" s="47"/>
      <c r="IDP1" s="47"/>
      <c r="IDQ1" s="47"/>
      <c r="IDR1" s="47"/>
      <c r="IDS1" s="47"/>
      <c r="IDT1" s="47"/>
      <c r="IDU1" s="47"/>
      <c r="IDV1" s="47"/>
      <c r="IDW1" s="47"/>
      <c r="IDX1" s="47"/>
      <c r="IDY1" s="47"/>
      <c r="IDZ1" s="47"/>
      <c r="IEA1" s="47"/>
      <c r="IEB1" s="47"/>
      <c r="IEC1" s="47"/>
      <c r="IED1" s="47"/>
      <c r="IEE1" s="47"/>
      <c r="IEF1" s="47"/>
      <c r="IEG1" s="47"/>
      <c r="IEH1" s="47"/>
      <c r="IEI1" s="47"/>
      <c r="IEJ1" s="47"/>
      <c r="IEK1" s="47"/>
      <c r="IEL1" s="47"/>
      <c r="IEM1" s="47"/>
      <c r="IEN1" s="47"/>
      <c r="IEO1" s="47"/>
      <c r="IEP1" s="47"/>
      <c r="IEQ1" s="47"/>
      <c r="IER1" s="47"/>
      <c r="IES1" s="47"/>
      <c r="IET1" s="47"/>
      <c r="IEU1" s="47"/>
      <c r="IEV1" s="47"/>
      <c r="IEW1" s="47"/>
      <c r="IEX1" s="47"/>
      <c r="IEY1" s="47"/>
      <c r="IEZ1" s="47"/>
      <c r="IFA1" s="47"/>
      <c r="IFB1" s="47"/>
      <c r="IFC1" s="47"/>
      <c r="IFD1" s="47"/>
      <c r="IFE1" s="47"/>
      <c r="IFF1" s="47"/>
      <c r="IFG1" s="47"/>
      <c r="IFH1" s="47"/>
      <c r="IFI1" s="47"/>
      <c r="IFJ1" s="47"/>
      <c r="IFK1" s="47"/>
      <c r="IFL1" s="47"/>
      <c r="IFM1" s="47"/>
      <c r="IFN1" s="47"/>
      <c r="IFO1" s="47"/>
      <c r="IFP1" s="47"/>
      <c r="IFQ1" s="47"/>
      <c r="IFR1" s="47"/>
      <c r="IFS1" s="47"/>
      <c r="IFT1" s="47"/>
      <c r="IFU1" s="47"/>
      <c r="IFV1" s="47"/>
      <c r="IFW1" s="47"/>
      <c r="IFX1" s="47"/>
      <c r="IFY1" s="47"/>
      <c r="IFZ1" s="47"/>
      <c r="IGA1" s="47"/>
      <c r="IGB1" s="47"/>
      <c r="IGC1" s="47"/>
      <c r="IGD1" s="47"/>
      <c r="IGE1" s="47"/>
      <c r="IGF1" s="47"/>
      <c r="IGG1" s="47"/>
      <c r="IGH1" s="47"/>
      <c r="IGI1" s="47"/>
      <c r="IGJ1" s="47"/>
      <c r="IGK1" s="47"/>
      <c r="IGL1" s="47"/>
      <c r="IGM1" s="47"/>
      <c r="IGN1" s="47"/>
      <c r="IGO1" s="47"/>
      <c r="IGP1" s="47"/>
      <c r="IGQ1" s="47"/>
      <c r="IGR1" s="47"/>
      <c r="IGS1" s="47"/>
      <c r="IGT1" s="47"/>
      <c r="IGU1" s="47"/>
      <c r="IGV1" s="47"/>
      <c r="IGW1" s="47"/>
      <c r="IGX1" s="47"/>
      <c r="IGY1" s="47"/>
      <c r="IGZ1" s="47"/>
      <c r="IHA1" s="47"/>
      <c r="IHB1" s="47"/>
      <c r="IHC1" s="47"/>
      <c r="IHD1" s="47"/>
      <c r="IHE1" s="47"/>
      <c r="IHF1" s="47"/>
      <c r="IHG1" s="47"/>
      <c r="IHH1" s="47"/>
      <c r="IHI1" s="47"/>
      <c r="IHJ1" s="47"/>
      <c r="IHK1" s="47"/>
      <c r="IHL1" s="47"/>
      <c r="IHM1" s="47"/>
      <c r="IHN1" s="47"/>
      <c r="IHO1" s="47"/>
      <c r="IHP1" s="47"/>
      <c r="IHQ1" s="47"/>
      <c r="IHR1" s="47"/>
      <c r="IHS1" s="47"/>
      <c r="IHT1" s="47"/>
      <c r="IHU1" s="47"/>
      <c r="IHV1" s="47"/>
      <c r="IHW1" s="47"/>
      <c r="IHX1" s="47"/>
      <c r="IHY1" s="47"/>
      <c r="IHZ1" s="47"/>
      <c r="IIA1" s="47"/>
      <c r="IIB1" s="47"/>
      <c r="IIC1" s="47"/>
      <c r="IID1" s="47"/>
      <c r="IIE1" s="47"/>
      <c r="IIF1" s="47"/>
      <c r="IIG1" s="47"/>
      <c r="IIH1" s="47"/>
      <c r="III1" s="47"/>
      <c r="IIJ1" s="47"/>
      <c r="IIK1" s="47"/>
      <c r="IIL1" s="47"/>
      <c r="IIM1" s="47"/>
      <c r="IIN1" s="47"/>
      <c r="IIO1" s="47"/>
      <c r="IIP1" s="47"/>
      <c r="IIQ1" s="47"/>
      <c r="IIR1" s="47"/>
      <c r="IIS1" s="47"/>
      <c r="IIT1" s="47"/>
      <c r="IIU1" s="47"/>
      <c r="IIV1" s="47"/>
      <c r="IIW1" s="47"/>
      <c r="IIX1" s="47"/>
      <c r="IIY1" s="47"/>
      <c r="IIZ1" s="47"/>
      <c r="IJA1" s="47"/>
      <c r="IJB1" s="47"/>
      <c r="IJC1" s="47"/>
      <c r="IJD1" s="47"/>
      <c r="IJE1" s="47"/>
      <c r="IJF1" s="47"/>
      <c r="IJG1" s="47"/>
      <c r="IJH1" s="47"/>
      <c r="IJI1" s="47"/>
      <c r="IJJ1" s="47"/>
      <c r="IJK1" s="47"/>
      <c r="IJL1" s="47"/>
      <c r="IJM1" s="47"/>
      <c r="IJN1" s="47"/>
      <c r="IJO1" s="47"/>
      <c r="IJP1" s="47"/>
      <c r="IJQ1" s="47"/>
      <c r="IJR1" s="47"/>
      <c r="IJS1" s="47"/>
      <c r="IJT1" s="47"/>
      <c r="IJU1" s="47"/>
      <c r="IJV1" s="47"/>
      <c r="IJW1" s="47"/>
      <c r="IJX1" s="47"/>
      <c r="IJY1" s="47"/>
      <c r="IJZ1" s="47"/>
      <c r="IKA1" s="47"/>
      <c r="IKB1" s="47"/>
      <c r="IKC1" s="47"/>
      <c r="IKD1" s="47"/>
      <c r="IKE1" s="47"/>
      <c r="IKF1" s="47"/>
      <c r="IKG1" s="47"/>
      <c r="IKH1" s="47"/>
      <c r="IKI1" s="47"/>
      <c r="IKJ1" s="47"/>
      <c r="IKK1" s="47"/>
      <c r="IKL1" s="47"/>
      <c r="IKM1" s="47"/>
      <c r="IKN1" s="47"/>
      <c r="IKO1" s="47"/>
      <c r="IKP1" s="47"/>
      <c r="IKQ1" s="47"/>
      <c r="IKR1" s="47"/>
      <c r="IKS1" s="47"/>
      <c r="IKT1" s="47"/>
      <c r="IKU1" s="47"/>
      <c r="IKV1" s="47"/>
      <c r="IKW1" s="47"/>
      <c r="IKX1" s="47"/>
      <c r="IKY1" s="47"/>
      <c r="IKZ1" s="47"/>
      <c r="ILA1" s="47"/>
      <c r="ILB1" s="47"/>
      <c r="ILC1" s="47"/>
      <c r="ILD1" s="47"/>
      <c r="ILE1" s="47"/>
      <c r="ILF1" s="47"/>
      <c r="ILG1" s="47"/>
      <c r="ILH1" s="47"/>
      <c r="ILI1" s="47"/>
      <c r="ILJ1" s="47"/>
      <c r="ILK1" s="47"/>
      <c r="ILL1" s="47"/>
      <c r="ILM1" s="47"/>
      <c r="ILN1" s="47"/>
      <c r="ILO1" s="47"/>
      <c r="ILP1" s="47"/>
      <c r="ILQ1" s="47"/>
      <c r="ILR1" s="47"/>
      <c r="ILS1" s="47"/>
      <c r="ILT1" s="47"/>
      <c r="ILU1" s="47"/>
      <c r="ILV1" s="47"/>
      <c r="ILW1" s="47"/>
      <c r="ILX1" s="47"/>
      <c r="ILY1" s="47"/>
      <c r="ILZ1" s="47"/>
      <c r="IMA1" s="47"/>
      <c r="IMB1" s="47"/>
      <c r="IMC1" s="47"/>
      <c r="IMD1" s="47"/>
      <c r="IME1" s="47"/>
      <c r="IMF1" s="47"/>
      <c r="IMG1" s="47"/>
      <c r="IMH1" s="47"/>
      <c r="IMI1" s="47"/>
      <c r="IMJ1" s="47"/>
      <c r="IMK1" s="47"/>
      <c r="IML1" s="47"/>
      <c r="IMM1" s="47"/>
      <c r="IMN1" s="47"/>
      <c r="IMO1" s="47"/>
      <c r="IMP1" s="47"/>
      <c r="IMQ1" s="47"/>
      <c r="IMR1" s="47"/>
      <c r="IMS1" s="47"/>
      <c r="IMT1" s="47"/>
      <c r="IMU1" s="47"/>
      <c r="IMV1" s="47"/>
      <c r="IMW1" s="47"/>
      <c r="IMX1" s="47"/>
      <c r="IMY1" s="47"/>
      <c r="IMZ1" s="47"/>
      <c r="INA1" s="47"/>
      <c r="INB1" s="47"/>
      <c r="INC1" s="47"/>
      <c r="IND1" s="47"/>
      <c r="INE1" s="47"/>
      <c r="INF1" s="47"/>
      <c r="ING1" s="47"/>
      <c r="INH1" s="47"/>
      <c r="INI1" s="47"/>
      <c r="INJ1" s="47"/>
      <c r="INK1" s="47"/>
      <c r="INL1" s="47"/>
      <c r="INM1" s="47"/>
      <c r="INN1" s="47"/>
      <c r="INO1" s="47"/>
      <c r="INP1" s="47"/>
      <c r="INQ1" s="47"/>
      <c r="INR1" s="47"/>
      <c r="INS1" s="47"/>
      <c r="INT1" s="47"/>
      <c r="INU1" s="47"/>
      <c r="INV1" s="47"/>
      <c r="INW1" s="47"/>
      <c r="INX1" s="47"/>
      <c r="INY1" s="47"/>
      <c r="INZ1" s="47"/>
      <c r="IOA1" s="47"/>
      <c r="IOB1" s="47"/>
      <c r="IOC1" s="47"/>
      <c r="IOD1" s="47"/>
      <c r="IOE1" s="47"/>
      <c r="IOF1" s="47"/>
      <c r="IOG1" s="47"/>
      <c r="IOH1" s="47"/>
      <c r="IOI1" s="47"/>
      <c r="IOJ1" s="47"/>
      <c r="IOK1" s="47"/>
      <c r="IOL1" s="47"/>
      <c r="IOM1" s="47"/>
      <c r="ION1" s="47"/>
      <c r="IOO1" s="47"/>
      <c r="IOP1" s="47"/>
      <c r="IOQ1" s="47"/>
      <c r="IOR1" s="47"/>
      <c r="IOS1" s="47"/>
      <c r="IOT1" s="47"/>
      <c r="IOU1" s="47"/>
      <c r="IOV1" s="47"/>
      <c r="IOW1" s="47"/>
      <c r="IOX1" s="47"/>
      <c r="IOY1" s="47"/>
      <c r="IOZ1" s="47"/>
      <c r="IPA1" s="47"/>
      <c r="IPB1" s="47"/>
      <c r="IPC1" s="47"/>
      <c r="IPD1" s="47"/>
      <c r="IPE1" s="47"/>
      <c r="IPF1" s="47"/>
      <c r="IPG1" s="47"/>
      <c r="IPH1" s="47"/>
      <c r="IPI1" s="47"/>
      <c r="IPJ1" s="47"/>
      <c r="IPK1" s="47"/>
      <c r="IPL1" s="47"/>
      <c r="IPM1" s="47"/>
      <c r="IPN1" s="47"/>
      <c r="IPO1" s="47"/>
      <c r="IPP1" s="47"/>
      <c r="IPQ1" s="47"/>
      <c r="IPR1" s="47"/>
      <c r="IPS1" s="47"/>
      <c r="IPT1" s="47"/>
      <c r="IPU1" s="47"/>
      <c r="IPV1" s="47"/>
      <c r="IPW1" s="47"/>
      <c r="IPX1" s="47"/>
      <c r="IPY1" s="47"/>
      <c r="IPZ1" s="47"/>
      <c r="IQA1" s="47"/>
      <c r="IQB1" s="47"/>
      <c r="IQC1" s="47"/>
      <c r="IQD1" s="47"/>
      <c r="IQE1" s="47"/>
      <c r="IQF1" s="47"/>
      <c r="IQG1" s="47"/>
      <c r="IQH1" s="47"/>
      <c r="IQI1" s="47"/>
      <c r="IQJ1" s="47"/>
      <c r="IQK1" s="47"/>
      <c r="IQL1" s="47"/>
      <c r="IQM1" s="47"/>
      <c r="IQN1" s="47"/>
      <c r="IQO1" s="47"/>
      <c r="IQP1" s="47"/>
      <c r="IQQ1" s="47"/>
      <c r="IQR1" s="47"/>
      <c r="IQS1" s="47"/>
      <c r="IQT1" s="47"/>
      <c r="IQU1" s="47"/>
      <c r="IQV1" s="47"/>
      <c r="IQW1" s="47"/>
      <c r="IQX1" s="47"/>
      <c r="IQY1" s="47"/>
      <c r="IQZ1" s="47"/>
      <c r="IRA1" s="47"/>
      <c r="IRB1" s="47"/>
      <c r="IRC1" s="47"/>
      <c r="IRD1" s="47"/>
      <c r="IRE1" s="47"/>
      <c r="IRF1" s="47"/>
      <c r="IRG1" s="47"/>
      <c r="IRH1" s="47"/>
      <c r="IRI1" s="47"/>
      <c r="IRJ1" s="47"/>
      <c r="IRK1" s="47"/>
      <c r="IRL1" s="47"/>
      <c r="IRM1" s="47"/>
      <c r="IRN1" s="47"/>
      <c r="IRO1" s="47"/>
      <c r="IRP1" s="47"/>
      <c r="IRQ1" s="47"/>
      <c r="IRR1" s="47"/>
      <c r="IRS1" s="47"/>
      <c r="IRT1" s="47"/>
      <c r="IRU1" s="47"/>
      <c r="IRV1" s="47"/>
      <c r="IRW1" s="47"/>
      <c r="IRX1" s="47"/>
      <c r="IRY1" s="47"/>
      <c r="IRZ1" s="47"/>
      <c r="ISA1" s="47"/>
      <c r="ISB1" s="47"/>
      <c r="ISC1" s="47"/>
      <c r="ISD1" s="47"/>
      <c r="ISE1" s="47"/>
      <c r="ISF1" s="47"/>
      <c r="ISG1" s="47"/>
      <c r="ISH1" s="47"/>
      <c r="ISI1" s="47"/>
      <c r="ISJ1" s="47"/>
      <c r="ISK1" s="47"/>
      <c r="ISL1" s="47"/>
      <c r="ISM1" s="47"/>
      <c r="ISN1" s="47"/>
      <c r="ISO1" s="47"/>
      <c r="ISP1" s="47"/>
      <c r="ISQ1" s="47"/>
      <c r="ISR1" s="47"/>
      <c r="ISS1" s="47"/>
      <c r="IST1" s="47"/>
      <c r="ISU1" s="47"/>
      <c r="ISV1" s="47"/>
      <c r="ISW1" s="47"/>
      <c r="ISX1" s="47"/>
      <c r="ISY1" s="47"/>
      <c r="ISZ1" s="47"/>
      <c r="ITA1" s="47"/>
      <c r="ITB1" s="47"/>
      <c r="ITC1" s="47"/>
      <c r="ITD1" s="47"/>
      <c r="ITE1" s="47"/>
      <c r="ITF1" s="47"/>
      <c r="ITG1" s="47"/>
      <c r="ITH1" s="47"/>
      <c r="ITI1" s="47"/>
      <c r="ITJ1" s="47"/>
      <c r="ITK1" s="47"/>
      <c r="ITL1" s="47"/>
      <c r="ITM1" s="47"/>
      <c r="ITN1" s="47"/>
      <c r="ITO1" s="47"/>
      <c r="ITP1" s="47"/>
      <c r="ITQ1" s="47"/>
      <c r="ITR1" s="47"/>
      <c r="ITS1" s="47"/>
      <c r="ITT1" s="47"/>
      <c r="ITU1" s="47"/>
      <c r="ITV1" s="47"/>
      <c r="ITW1" s="47"/>
      <c r="ITX1" s="47"/>
      <c r="ITY1" s="47"/>
      <c r="ITZ1" s="47"/>
      <c r="IUA1" s="47"/>
      <c r="IUB1" s="47"/>
      <c r="IUC1" s="47"/>
      <c r="IUD1" s="47"/>
      <c r="IUE1" s="47"/>
      <c r="IUF1" s="47"/>
      <c r="IUG1" s="47"/>
      <c r="IUH1" s="47"/>
      <c r="IUI1" s="47"/>
      <c r="IUJ1" s="47"/>
      <c r="IUK1" s="47"/>
      <c r="IUL1" s="47"/>
      <c r="IUM1" s="47"/>
      <c r="IUN1" s="47"/>
      <c r="IUO1" s="47"/>
      <c r="IUP1" s="47"/>
      <c r="IUQ1" s="47"/>
      <c r="IUR1" s="47"/>
      <c r="IUS1" s="47"/>
      <c r="IUT1" s="47"/>
      <c r="IUU1" s="47"/>
      <c r="IUV1" s="47"/>
      <c r="IUW1" s="47"/>
      <c r="IUX1" s="47"/>
      <c r="IUY1" s="47"/>
      <c r="IUZ1" s="47"/>
      <c r="IVA1" s="47"/>
      <c r="IVB1" s="47"/>
      <c r="IVC1" s="47"/>
      <c r="IVD1" s="47"/>
      <c r="IVE1" s="47"/>
      <c r="IVF1" s="47"/>
      <c r="IVG1" s="47"/>
      <c r="IVH1" s="47"/>
      <c r="IVI1" s="47"/>
      <c r="IVJ1" s="47"/>
      <c r="IVK1" s="47"/>
      <c r="IVL1" s="47"/>
      <c r="IVM1" s="47"/>
      <c r="IVN1" s="47"/>
      <c r="IVO1" s="47"/>
      <c r="IVP1" s="47"/>
      <c r="IVQ1" s="47"/>
      <c r="IVR1" s="47"/>
      <c r="IVS1" s="47"/>
      <c r="IVT1" s="47"/>
      <c r="IVU1" s="47"/>
      <c r="IVV1" s="47"/>
      <c r="IVW1" s="47"/>
      <c r="IVX1" s="47"/>
      <c r="IVY1" s="47"/>
      <c r="IVZ1" s="47"/>
      <c r="IWA1" s="47"/>
      <c r="IWB1" s="47"/>
      <c r="IWC1" s="47"/>
      <c r="IWD1" s="47"/>
      <c r="IWE1" s="47"/>
      <c r="IWF1" s="47"/>
      <c r="IWG1" s="47"/>
      <c r="IWH1" s="47"/>
      <c r="IWI1" s="47"/>
      <c r="IWJ1" s="47"/>
      <c r="IWK1" s="47"/>
      <c r="IWL1" s="47"/>
      <c r="IWM1" s="47"/>
      <c r="IWN1" s="47"/>
      <c r="IWO1" s="47"/>
      <c r="IWP1" s="47"/>
      <c r="IWQ1" s="47"/>
      <c r="IWR1" s="47"/>
      <c r="IWS1" s="47"/>
      <c r="IWT1" s="47"/>
      <c r="IWU1" s="47"/>
      <c r="IWV1" s="47"/>
      <c r="IWW1" s="47"/>
      <c r="IWX1" s="47"/>
      <c r="IWY1" s="47"/>
      <c r="IWZ1" s="47"/>
      <c r="IXA1" s="47"/>
      <c r="IXB1" s="47"/>
      <c r="IXC1" s="47"/>
      <c r="IXD1" s="47"/>
      <c r="IXE1" s="47"/>
      <c r="IXF1" s="47"/>
      <c r="IXG1" s="47"/>
      <c r="IXH1" s="47"/>
      <c r="IXI1" s="47"/>
      <c r="IXJ1" s="47"/>
      <c r="IXK1" s="47"/>
      <c r="IXL1" s="47"/>
      <c r="IXM1" s="47"/>
      <c r="IXN1" s="47"/>
      <c r="IXO1" s="47"/>
      <c r="IXP1" s="47"/>
      <c r="IXQ1" s="47"/>
      <c r="IXR1" s="47"/>
      <c r="IXS1" s="47"/>
      <c r="IXT1" s="47"/>
      <c r="IXU1" s="47"/>
      <c r="IXV1" s="47"/>
      <c r="IXW1" s="47"/>
      <c r="IXX1" s="47"/>
      <c r="IXY1" s="47"/>
      <c r="IXZ1" s="47"/>
      <c r="IYA1" s="47"/>
      <c r="IYB1" s="47"/>
      <c r="IYC1" s="47"/>
      <c r="IYD1" s="47"/>
      <c r="IYE1" s="47"/>
      <c r="IYF1" s="47"/>
      <c r="IYG1" s="47"/>
      <c r="IYH1" s="47"/>
      <c r="IYI1" s="47"/>
      <c r="IYJ1" s="47"/>
      <c r="IYK1" s="47"/>
      <c r="IYL1" s="47"/>
      <c r="IYM1" s="47"/>
      <c r="IYN1" s="47"/>
      <c r="IYO1" s="47"/>
      <c r="IYP1" s="47"/>
      <c r="IYQ1" s="47"/>
      <c r="IYR1" s="47"/>
      <c r="IYS1" s="47"/>
      <c r="IYT1" s="47"/>
      <c r="IYU1" s="47"/>
      <c r="IYV1" s="47"/>
      <c r="IYW1" s="47"/>
      <c r="IYX1" s="47"/>
      <c r="IYY1" s="47"/>
      <c r="IYZ1" s="47"/>
      <c r="IZA1" s="47"/>
      <c r="IZB1" s="47"/>
      <c r="IZC1" s="47"/>
      <c r="IZD1" s="47"/>
      <c r="IZE1" s="47"/>
      <c r="IZF1" s="47"/>
      <c r="IZG1" s="47"/>
      <c r="IZH1" s="47"/>
      <c r="IZI1" s="47"/>
      <c r="IZJ1" s="47"/>
      <c r="IZK1" s="47"/>
      <c r="IZL1" s="47"/>
      <c r="IZM1" s="47"/>
      <c r="IZN1" s="47"/>
      <c r="IZO1" s="47"/>
      <c r="IZP1" s="47"/>
      <c r="IZQ1" s="47"/>
      <c r="IZR1" s="47"/>
      <c r="IZS1" s="47"/>
      <c r="IZT1" s="47"/>
      <c r="IZU1" s="47"/>
      <c r="IZV1" s="47"/>
      <c r="IZW1" s="47"/>
      <c r="IZX1" s="47"/>
      <c r="IZY1" s="47"/>
      <c r="IZZ1" s="47"/>
      <c r="JAA1" s="47"/>
      <c r="JAB1" s="47"/>
      <c r="JAC1" s="47"/>
      <c r="JAD1" s="47"/>
      <c r="JAE1" s="47"/>
      <c r="JAF1" s="47"/>
      <c r="JAG1" s="47"/>
      <c r="JAH1" s="47"/>
      <c r="JAI1" s="47"/>
      <c r="JAJ1" s="47"/>
      <c r="JAK1" s="47"/>
      <c r="JAL1" s="47"/>
      <c r="JAM1" s="47"/>
      <c r="JAN1" s="47"/>
      <c r="JAO1" s="47"/>
      <c r="JAP1" s="47"/>
      <c r="JAQ1" s="47"/>
      <c r="JAR1" s="47"/>
      <c r="JAS1" s="47"/>
      <c r="JAT1" s="47"/>
      <c r="JAU1" s="47"/>
      <c r="JAV1" s="47"/>
      <c r="JAW1" s="47"/>
      <c r="JAX1" s="47"/>
      <c r="JAY1" s="47"/>
      <c r="JAZ1" s="47"/>
      <c r="JBA1" s="47"/>
      <c r="JBB1" s="47"/>
      <c r="JBC1" s="47"/>
      <c r="JBD1" s="47"/>
      <c r="JBE1" s="47"/>
      <c r="JBF1" s="47"/>
      <c r="JBG1" s="47"/>
      <c r="JBH1" s="47"/>
      <c r="JBI1" s="47"/>
      <c r="JBJ1" s="47"/>
      <c r="JBK1" s="47"/>
      <c r="JBL1" s="47"/>
      <c r="JBM1" s="47"/>
      <c r="JBN1" s="47"/>
      <c r="JBO1" s="47"/>
      <c r="JBP1" s="47"/>
      <c r="JBQ1" s="47"/>
      <c r="JBR1" s="47"/>
      <c r="JBS1" s="47"/>
      <c r="JBT1" s="47"/>
      <c r="JBU1" s="47"/>
      <c r="JBV1" s="47"/>
      <c r="JBW1" s="47"/>
      <c r="JBX1" s="47"/>
      <c r="JBY1" s="47"/>
      <c r="JBZ1" s="47"/>
      <c r="JCA1" s="47"/>
      <c r="JCB1" s="47"/>
      <c r="JCC1" s="47"/>
      <c r="JCD1" s="47"/>
      <c r="JCE1" s="47"/>
      <c r="JCF1" s="47"/>
      <c r="JCG1" s="47"/>
      <c r="JCH1" s="47"/>
      <c r="JCI1" s="47"/>
      <c r="JCJ1" s="47"/>
      <c r="JCK1" s="47"/>
      <c r="JCL1" s="47"/>
      <c r="JCM1" s="47"/>
      <c r="JCN1" s="47"/>
      <c r="JCO1" s="47"/>
      <c r="JCP1" s="47"/>
      <c r="JCQ1" s="47"/>
      <c r="JCR1" s="47"/>
      <c r="JCS1" s="47"/>
      <c r="JCT1" s="47"/>
      <c r="JCU1" s="47"/>
      <c r="JCV1" s="47"/>
      <c r="JCW1" s="47"/>
      <c r="JCX1" s="47"/>
      <c r="JCY1" s="47"/>
      <c r="JCZ1" s="47"/>
      <c r="JDA1" s="47"/>
      <c r="JDB1" s="47"/>
      <c r="JDC1" s="47"/>
      <c r="JDD1" s="47"/>
      <c r="JDE1" s="47"/>
      <c r="JDF1" s="47"/>
      <c r="JDG1" s="47"/>
      <c r="JDH1" s="47"/>
      <c r="JDI1" s="47"/>
      <c r="JDJ1" s="47"/>
      <c r="JDK1" s="47"/>
      <c r="JDL1" s="47"/>
      <c r="JDM1" s="47"/>
      <c r="JDN1" s="47"/>
      <c r="JDO1" s="47"/>
      <c r="JDP1" s="47"/>
      <c r="JDQ1" s="47"/>
      <c r="JDR1" s="47"/>
      <c r="JDS1" s="47"/>
      <c r="JDT1" s="47"/>
      <c r="JDU1" s="47"/>
      <c r="JDV1" s="47"/>
      <c r="JDW1" s="47"/>
      <c r="JDX1" s="47"/>
      <c r="JDY1" s="47"/>
      <c r="JDZ1" s="47"/>
      <c r="JEA1" s="47"/>
      <c r="JEB1" s="47"/>
      <c r="JEC1" s="47"/>
      <c r="JED1" s="47"/>
      <c r="JEE1" s="47"/>
      <c r="JEF1" s="47"/>
      <c r="JEG1" s="47"/>
      <c r="JEH1" s="47"/>
      <c r="JEI1" s="47"/>
      <c r="JEJ1" s="47"/>
      <c r="JEK1" s="47"/>
      <c r="JEL1" s="47"/>
      <c r="JEM1" s="47"/>
      <c r="JEN1" s="47"/>
      <c r="JEO1" s="47"/>
      <c r="JEP1" s="47"/>
      <c r="JEQ1" s="47"/>
      <c r="JER1" s="47"/>
      <c r="JES1" s="47"/>
      <c r="JET1" s="47"/>
      <c r="JEU1" s="47"/>
      <c r="JEV1" s="47"/>
      <c r="JEW1" s="47"/>
      <c r="JEX1" s="47"/>
      <c r="JEY1" s="47"/>
      <c r="JEZ1" s="47"/>
      <c r="JFA1" s="47"/>
      <c r="JFB1" s="47"/>
      <c r="JFC1" s="47"/>
      <c r="JFD1" s="47"/>
      <c r="JFE1" s="47"/>
      <c r="JFF1" s="47"/>
      <c r="JFG1" s="47"/>
      <c r="JFH1" s="47"/>
      <c r="JFI1" s="47"/>
      <c r="JFJ1" s="47"/>
      <c r="JFK1" s="47"/>
      <c r="JFL1" s="47"/>
      <c r="JFM1" s="47"/>
      <c r="JFN1" s="47"/>
      <c r="JFO1" s="47"/>
      <c r="JFP1" s="47"/>
      <c r="JFQ1" s="47"/>
      <c r="JFR1" s="47"/>
      <c r="JFS1" s="47"/>
      <c r="JFT1" s="47"/>
      <c r="JFU1" s="47"/>
      <c r="JFV1" s="47"/>
      <c r="JFW1" s="47"/>
      <c r="JFX1" s="47"/>
      <c r="JFY1" s="47"/>
      <c r="JFZ1" s="47"/>
      <c r="JGA1" s="47"/>
      <c r="JGB1" s="47"/>
      <c r="JGC1" s="47"/>
      <c r="JGD1" s="47"/>
      <c r="JGE1" s="47"/>
      <c r="JGF1" s="47"/>
      <c r="JGG1" s="47"/>
      <c r="JGH1" s="47"/>
      <c r="JGI1" s="47"/>
      <c r="JGJ1" s="47"/>
      <c r="JGK1" s="47"/>
      <c r="JGL1" s="47"/>
      <c r="JGM1" s="47"/>
      <c r="JGN1" s="47"/>
      <c r="JGO1" s="47"/>
      <c r="JGP1" s="47"/>
      <c r="JGQ1" s="47"/>
      <c r="JGR1" s="47"/>
      <c r="JGS1" s="47"/>
      <c r="JGT1" s="47"/>
      <c r="JGU1" s="47"/>
      <c r="JGV1" s="47"/>
      <c r="JGW1" s="47"/>
      <c r="JGX1" s="47"/>
      <c r="JGY1" s="47"/>
      <c r="JGZ1" s="47"/>
      <c r="JHA1" s="47"/>
      <c r="JHB1" s="47"/>
      <c r="JHC1" s="47"/>
      <c r="JHD1" s="47"/>
      <c r="JHE1" s="47"/>
      <c r="JHF1" s="47"/>
      <c r="JHG1" s="47"/>
      <c r="JHH1" s="47"/>
      <c r="JHI1" s="47"/>
      <c r="JHJ1" s="47"/>
      <c r="JHK1" s="47"/>
      <c r="JHL1" s="47"/>
      <c r="JHM1" s="47"/>
      <c r="JHN1" s="47"/>
      <c r="JHO1" s="47"/>
      <c r="JHP1" s="47"/>
      <c r="JHQ1" s="47"/>
      <c r="JHR1" s="47"/>
      <c r="JHS1" s="47"/>
      <c r="JHT1" s="47"/>
      <c r="JHU1" s="47"/>
      <c r="JHV1" s="47"/>
      <c r="JHW1" s="47"/>
      <c r="JHX1" s="47"/>
      <c r="JHY1" s="47"/>
      <c r="JHZ1" s="47"/>
      <c r="JIA1" s="47"/>
      <c r="JIB1" s="47"/>
      <c r="JIC1" s="47"/>
      <c r="JID1" s="47"/>
      <c r="JIE1" s="47"/>
      <c r="JIF1" s="47"/>
      <c r="JIG1" s="47"/>
      <c r="JIH1" s="47"/>
      <c r="JII1" s="47"/>
      <c r="JIJ1" s="47"/>
      <c r="JIK1" s="47"/>
      <c r="JIL1" s="47"/>
      <c r="JIM1" s="47"/>
      <c r="JIN1" s="47"/>
      <c r="JIO1" s="47"/>
      <c r="JIP1" s="47"/>
      <c r="JIQ1" s="47"/>
      <c r="JIR1" s="47"/>
      <c r="JIS1" s="47"/>
      <c r="JIT1" s="47"/>
      <c r="JIU1" s="47"/>
      <c r="JIV1" s="47"/>
      <c r="JIW1" s="47"/>
      <c r="JIX1" s="47"/>
      <c r="JIY1" s="47"/>
      <c r="JIZ1" s="47"/>
      <c r="JJA1" s="47"/>
      <c r="JJB1" s="47"/>
      <c r="JJC1" s="47"/>
      <c r="JJD1" s="47"/>
      <c r="JJE1" s="47"/>
      <c r="JJF1" s="47"/>
      <c r="JJG1" s="47"/>
      <c r="JJH1" s="47"/>
      <c r="JJI1" s="47"/>
      <c r="JJJ1" s="47"/>
      <c r="JJK1" s="47"/>
      <c r="JJL1" s="47"/>
      <c r="JJM1" s="47"/>
      <c r="JJN1" s="47"/>
      <c r="JJO1" s="47"/>
      <c r="JJP1" s="47"/>
      <c r="JJQ1" s="47"/>
      <c r="JJR1" s="47"/>
      <c r="JJS1" s="47"/>
      <c r="JJT1" s="47"/>
      <c r="JJU1" s="47"/>
      <c r="JJV1" s="47"/>
      <c r="JJW1" s="47"/>
      <c r="JJX1" s="47"/>
      <c r="JJY1" s="47"/>
      <c r="JJZ1" s="47"/>
      <c r="JKA1" s="47"/>
      <c r="JKB1" s="47"/>
      <c r="JKC1" s="47"/>
      <c r="JKD1" s="47"/>
      <c r="JKE1" s="47"/>
      <c r="JKF1" s="47"/>
      <c r="JKG1" s="47"/>
      <c r="JKH1" s="47"/>
      <c r="JKI1" s="47"/>
      <c r="JKJ1" s="47"/>
      <c r="JKK1" s="47"/>
      <c r="JKL1" s="47"/>
      <c r="JKM1" s="47"/>
      <c r="JKN1" s="47"/>
      <c r="JKO1" s="47"/>
      <c r="JKP1" s="47"/>
      <c r="JKQ1" s="47"/>
      <c r="JKR1" s="47"/>
      <c r="JKS1" s="47"/>
      <c r="JKT1" s="47"/>
      <c r="JKU1" s="47"/>
      <c r="JKV1" s="47"/>
      <c r="JKW1" s="47"/>
      <c r="JKX1" s="47"/>
      <c r="JKY1" s="47"/>
      <c r="JKZ1" s="47"/>
      <c r="JLA1" s="47"/>
      <c r="JLB1" s="47"/>
      <c r="JLC1" s="47"/>
      <c r="JLD1" s="47"/>
      <c r="JLE1" s="47"/>
      <c r="JLF1" s="47"/>
      <c r="JLG1" s="47"/>
      <c r="JLH1" s="47"/>
      <c r="JLI1" s="47"/>
      <c r="JLJ1" s="47"/>
      <c r="JLK1" s="47"/>
      <c r="JLL1" s="47"/>
      <c r="JLM1" s="47"/>
      <c r="JLN1" s="47"/>
      <c r="JLO1" s="47"/>
      <c r="JLP1" s="47"/>
      <c r="JLQ1" s="47"/>
      <c r="JLR1" s="47"/>
      <c r="JLS1" s="47"/>
      <c r="JLT1" s="47"/>
      <c r="JLU1" s="47"/>
      <c r="JLV1" s="47"/>
      <c r="JLW1" s="47"/>
      <c r="JLX1" s="47"/>
      <c r="JLY1" s="47"/>
      <c r="JLZ1" s="47"/>
      <c r="JMA1" s="47"/>
      <c r="JMB1" s="47"/>
      <c r="JMC1" s="47"/>
      <c r="JMD1" s="47"/>
      <c r="JME1" s="47"/>
      <c r="JMF1" s="47"/>
      <c r="JMG1" s="47"/>
      <c r="JMH1" s="47"/>
      <c r="JMI1" s="47"/>
      <c r="JMJ1" s="47"/>
      <c r="JMK1" s="47"/>
      <c r="JML1" s="47"/>
      <c r="JMM1" s="47"/>
      <c r="JMN1" s="47"/>
      <c r="JMO1" s="47"/>
      <c r="JMP1" s="47"/>
      <c r="JMQ1" s="47"/>
      <c r="JMR1" s="47"/>
      <c r="JMS1" s="47"/>
      <c r="JMT1" s="47"/>
      <c r="JMU1" s="47"/>
      <c r="JMV1" s="47"/>
      <c r="JMW1" s="47"/>
      <c r="JMX1" s="47"/>
      <c r="JMY1" s="47"/>
      <c r="JMZ1" s="47"/>
      <c r="JNA1" s="47"/>
      <c r="JNB1" s="47"/>
      <c r="JNC1" s="47"/>
      <c r="JND1" s="47"/>
      <c r="JNE1" s="47"/>
      <c r="JNF1" s="47"/>
      <c r="JNG1" s="47"/>
      <c r="JNH1" s="47"/>
      <c r="JNI1" s="47"/>
      <c r="JNJ1" s="47"/>
      <c r="JNK1" s="47"/>
      <c r="JNL1" s="47"/>
      <c r="JNM1" s="47"/>
      <c r="JNN1" s="47"/>
      <c r="JNO1" s="47"/>
      <c r="JNP1" s="47"/>
      <c r="JNQ1" s="47"/>
      <c r="JNR1" s="47"/>
      <c r="JNS1" s="47"/>
      <c r="JNT1" s="47"/>
      <c r="JNU1" s="47"/>
      <c r="JNV1" s="47"/>
      <c r="JNW1" s="47"/>
      <c r="JNX1" s="47"/>
      <c r="JNY1" s="47"/>
      <c r="JNZ1" s="47"/>
      <c r="JOA1" s="47"/>
      <c r="JOB1" s="47"/>
      <c r="JOC1" s="47"/>
      <c r="JOD1" s="47"/>
      <c r="JOE1" s="47"/>
      <c r="JOF1" s="47"/>
      <c r="JOG1" s="47"/>
      <c r="JOH1" s="47"/>
      <c r="JOI1" s="47"/>
      <c r="JOJ1" s="47"/>
      <c r="JOK1" s="47"/>
      <c r="JOL1" s="47"/>
      <c r="JOM1" s="47"/>
      <c r="JON1" s="47"/>
      <c r="JOO1" s="47"/>
      <c r="JOP1" s="47"/>
      <c r="JOQ1" s="47"/>
      <c r="JOR1" s="47"/>
      <c r="JOS1" s="47"/>
      <c r="JOT1" s="47"/>
      <c r="JOU1" s="47"/>
      <c r="JOV1" s="47"/>
      <c r="JOW1" s="47"/>
      <c r="JOX1" s="47"/>
      <c r="JOY1" s="47"/>
      <c r="JOZ1" s="47"/>
      <c r="JPA1" s="47"/>
      <c r="JPB1" s="47"/>
      <c r="JPC1" s="47"/>
      <c r="JPD1" s="47"/>
      <c r="JPE1" s="47"/>
      <c r="JPF1" s="47"/>
      <c r="JPG1" s="47"/>
      <c r="JPH1" s="47"/>
      <c r="JPI1" s="47"/>
      <c r="JPJ1" s="47"/>
      <c r="JPK1" s="47"/>
      <c r="JPL1" s="47"/>
      <c r="JPM1" s="47"/>
      <c r="JPN1" s="47"/>
      <c r="JPO1" s="47"/>
      <c r="JPP1" s="47"/>
      <c r="JPQ1" s="47"/>
      <c r="JPR1" s="47"/>
      <c r="JPS1" s="47"/>
      <c r="JPT1" s="47"/>
      <c r="JPU1" s="47"/>
      <c r="JPV1" s="47"/>
      <c r="JPW1" s="47"/>
      <c r="JPX1" s="47"/>
      <c r="JPY1" s="47"/>
      <c r="JPZ1" s="47"/>
      <c r="JQA1" s="47"/>
      <c r="JQB1" s="47"/>
      <c r="JQC1" s="47"/>
      <c r="JQD1" s="47"/>
      <c r="JQE1" s="47"/>
      <c r="JQF1" s="47"/>
      <c r="JQG1" s="47"/>
      <c r="JQH1" s="47"/>
      <c r="JQI1" s="47"/>
      <c r="JQJ1" s="47"/>
      <c r="JQK1" s="47"/>
      <c r="JQL1" s="47"/>
      <c r="JQM1" s="47"/>
      <c r="JQN1" s="47"/>
      <c r="JQO1" s="47"/>
      <c r="JQP1" s="47"/>
      <c r="JQQ1" s="47"/>
      <c r="JQR1" s="47"/>
      <c r="JQS1" s="47"/>
      <c r="JQT1" s="47"/>
      <c r="JQU1" s="47"/>
      <c r="JQV1" s="47"/>
      <c r="JQW1" s="47"/>
      <c r="JQX1" s="47"/>
      <c r="JQY1" s="47"/>
      <c r="JQZ1" s="47"/>
      <c r="JRA1" s="47"/>
      <c r="JRB1" s="47"/>
      <c r="JRC1" s="47"/>
      <c r="JRD1" s="47"/>
      <c r="JRE1" s="47"/>
      <c r="JRF1" s="47"/>
      <c r="JRG1" s="47"/>
      <c r="JRH1" s="47"/>
      <c r="JRI1" s="47"/>
      <c r="JRJ1" s="47"/>
      <c r="JRK1" s="47"/>
      <c r="JRL1" s="47"/>
      <c r="JRM1" s="47"/>
      <c r="JRN1" s="47"/>
      <c r="JRO1" s="47"/>
      <c r="JRP1" s="47"/>
      <c r="JRQ1" s="47"/>
      <c r="JRR1" s="47"/>
      <c r="JRS1" s="47"/>
      <c r="JRT1" s="47"/>
      <c r="JRU1" s="47"/>
      <c r="JRV1" s="47"/>
      <c r="JRW1" s="47"/>
      <c r="JRX1" s="47"/>
      <c r="JRY1" s="47"/>
      <c r="JRZ1" s="47"/>
      <c r="JSA1" s="47"/>
      <c r="JSB1" s="47"/>
      <c r="JSC1" s="47"/>
      <c r="JSD1" s="47"/>
      <c r="JSE1" s="47"/>
      <c r="JSF1" s="47"/>
      <c r="JSG1" s="47"/>
      <c r="JSH1" s="47"/>
      <c r="JSI1" s="47"/>
      <c r="JSJ1" s="47"/>
      <c r="JSK1" s="47"/>
      <c r="JSL1" s="47"/>
      <c r="JSM1" s="47"/>
      <c r="JSN1" s="47"/>
      <c r="JSO1" s="47"/>
      <c r="JSP1" s="47"/>
      <c r="JSQ1" s="47"/>
      <c r="JSR1" s="47"/>
      <c r="JSS1" s="47"/>
      <c r="JST1" s="47"/>
      <c r="JSU1" s="47"/>
      <c r="JSV1" s="47"/>
      <c r="JSW1" s="47"/>
      <c r="JSX1" s="47"/>
      <c r="JSY1" s="47"/>
      <c r="JSZ1" s="47"/>
      <c r="JTA1" s="47"/>
      <c r="JTB1" s="47"/>
      <c r="JTC1" s="47"/>
      <c r="JTD1" s="47"/>
      <c r="JTE1" s="47"/>
      <c r="JTF1" s="47"/>
      <c r="JTG1" s="47"/>
      <c r="JTH1" s="47"/>
      <c r="JTI1" s="47"/>
      <c r="JTJ1" s="47"/>
      <c r="JTK1" s="47"/>
      <c r="JTL1" s="47"/>
      <c r="JTM1" s="47"/>
      <c r="JTN1" s="47"/>
      <c r="JTO1" s="47"/>
      <c r="JTP1" s="47"/>
      <c r="JTQ1" s="47"/>
      <c r="JTR1" s="47"/>
      <c r="JTS1" s="47"/>
      <c r="JTT1" s="47"/>
      <c r="JTU1" s="47"/>
      <c r="JTV1" s="47"/>
      <c r="JTW1" s="47"/>
      <c r="JTX1" s="47"/>
      <c r="JTY1" s="47"/>
      <c r="JTZ1" s="47"/>
      <c r="JUA1" s="47"/>
      <c r="JUB1" s="47"/>
      <c r="JUC1" s="47"/>
      <c r="JUD1" s="47"/>
      <c r="JUE1" s="47"/>
      <c r="JUF1" s="47"/>
      <c r="JUG1" s="47"/>
      <c r="JUH1" s="47"/>
      <c r="JUI1" s="47"/>
      <c r="JUJ1" s="47"/>
      <c r="JUK1" s="47"/>
      <c r="JUL1" s="47"/>
      <c r="JUM1" s="47"/>
      <c r="JUN1" s="47"/>
      <c r="JUO1" s="47"/>
      <c r="JUP1" s="47"/>
      <c r="JUQ1" s="47"/>
      <c r="JUR1" s="47"/>
      <c r="JUS1" s="47"/>
      <c r="JUT1" s="47"/>
      <c r="JUU1" s="47"/>
      <c r="JUV1" s="47"/>
      <c r="JUW1" s="47"/>
      <c r="JUX1" s="47"/>
      <c r="JUY1" s="47"/>
      <c r="JUZ1" s="47"/>
      <c r="JVA1" s="47"/>
      <c r="JVB1" s="47"/>
      <c r="JVC1" s="47"/>
      <c r="JVD1" s="47"/>
      <c r="JVE1" s="47"/>
      <c r="JVF1" s="47"/>
      <c r="JVG1" s="47"/>
      <c r="JVH1" s="47"/>
      <c r="JVI1" s="47"/>
      <c r="JVJ1" s="47"/>
      <c r="JVK1" s="47"/>
      <c r="JVL1" s="47"/>
      <c r="JVM1" s="47"/>
      <c r="JVN1" s="47"/>
      <c r="JVO1" s="47"/>
      <c r="JVP1" s="47"/>
      <c r="JVQ1" s="47"/>
      <c r="JVR1" s="47"/>
      <c r="JVS1" s="47"/>
      <c r="JVT1" s="47"/>
      <c r="JVU1" s="47"/>
      <c r="JVV1" s="47"/>
      <c r="JVW1" s="47"/>
      <c r="JVX1" s="47"/>
      <c r="JVY1" s="47"/>
      <c r="JVZ1" s="47"/>
      <c r="JWA1" s="47"/>
      <c r="JWB1" s="47"/>
      <c r="JWC1" s="47"/>
      <c r="JWD1" s="47"/>
      <c r="JWE1" s="47"/>
      <c r="JWF1" s="47"/>
      <c r="JWG1" s="47"/>
      <c r="JWH1" s="47"/>
      <c r="JWI1" s="47"/>
      <c r="JWJ1" s="47"/>
      <c r="JWK1" s="47"/>
      <c r="JWL1" s="47"/>
      <c r="JWM1" s="47"/>
      <c r="JWN1" s="47"/>
      <c r="JWO1" s="47"/>
      <c r="JWP1" s="47"/>
      <c r="JWQ1" s="47"/>
      <c r="JWR1" s="47"/>
      <c r="JWS1" s="47"/>
      <c r="JWT1" s="47"/>
      <c r="JWU1" s="47"/>
      <c r="JWV1" s="47"/>
      <c r="JWW1" s="47"/>
      <c r="JWX1" s="47"/>
      <c r="JWY1" s="47"/>
      <c r="JWZ1" s="47"/>
      <c r="JXA1" s="47"/>
      <c r="JXB1" s="47"/>
      <c r="JXC1" s="47"/>
      <c r="JXD1" s="47"/>
      <c r="JXE1" s="47"/>
      <c r="JXF1" s="47"/>
      <c r="JXG1" s="47"/>
      <c r="JXH1" s="47"/>
      <c r="JXI1" s="47"/>
      <c r="JXJ1" s="47"/>
      <c r="JXK1" s="47"/>
      <c r="JXL1" s="47"/>
      <c r="JXM1" s="47"/>
      <c r="JXN1" s="47"/>
      <c r="JXO1" s="47"/>
      <c r="JXP1" s="47"/>
      <c r="JXQ1" s="47"/>
      <c r="JXR1" s="47"/>
      <c r="JXS1" s="47"/>
      <c r="JXT1" s="47"/>
      <c r="JXU1" s="47"/>
      <c r="JXV1" s="47"/>
      <c r="JXW1" s="47"/>
      <c r="JXX1" s="47"/>
      <c r="JXY1" s="47"/>
      <c r="JXZ1" s="47"/>
      <c r="JYA1" s="47"/>
      <c r="JYB1" s="47"/>
      <c r="JYC1" s="47"/>
      <c r="JYD1" s="47"/>
      <c r="JYE1" s="47"/>
      <c r="JYF1" s="47"/>
      <c r="JYG1" s="47"/>
      <c r="JYH1" s="47"/>
      <c r="JYI1" s="47"/>
      <c r="JYJ1" s="47"/>
      <c r="JYK1" s="47"/>
      <c r="JYL1" s="47"/>
      <c r="JYM1" s="47"/>
      <c r="JYN1" s="47"/>
      <c r="JYO1" s="47"/>
      <c r="JYP1" s="47"/>
      <c r="JYQ1" s="47"/>
      <c r="JYR1" s="47"/>
      <c r="JYS1" s="47"/>
      <c r="JYT1" s="47"/>
      <c r="JYU1" s="47"/>
      <c r="JYV1" s="47"/>
      <c r="JYW1" s="47"/>
      <c r="JYX1" s="47"/>
      <c r="JYY1" s="47"/>
      <c r="JYZ1" s="47"/>
      <c r="JZA1" s="47"/>
      <c r="JZB1" s="47"/>
      <c r="JZC1" s="47"/>
      <c r="JZD1" s="47"/>
      <c r="JZE1" s="47"/>
      <c r="JZF1" s="47"/>
      <c r="JZG1" s="47"/>
      <c r="JZH1" s="47"/>
      <c r="JZI1" s="47"/>
      <c r="JZJ1" s="47"/>
      <c r="JZK1" s="47"/>
      <c r="JZL1" s="47"/>
      <c r="JZM1" s="47"/>
      <c r="JZN1" s="47"/>
      <c r="JZO1" s="47"/>
      <c r="JZP1" s="47"/>
      <c r="JZQ1" s="47"/>
      <c r="JZR1" s="47"/>
      <c r="JZS1" s="47"/>
      <c r="JZT1" s="47"/>
      <c r="JZU1" s="47"/>
      <c r="JZV1" s="47"/>
      <c r="JZW1" s="47"/>
      <c r="JZX1" s="47"/>
      <c r="JZY1" s="47"/>
      <c r="JZZ1" s="47"/>
      <c r="KAA1" s="47"/>
      <c r="KAB1" s="47"/>
      <c r="KAC1" s="47"/>
      <c r="KAD1" s="47"/>
      <c r="KAE1" s="47"/>
      <c r="KAF1" s="47"/>
      <c r="KAG1" s="47"/>
      <c r="KAH1" s="47"/>
      <c r="KAI1" s="47"/>
      <c r="KAJ1" s="47"/>
      <c r="KAK1" s="47"/>
      <c r="KAL1" s="47"/>
      <c r="KAM1" s="47"/>
      <c r="KAN1" s="47"/>
      <c r="KAO1" s="47"/>
      <c r="KAP1" s="47"/>
      <c r="KAQ1" s="47"/>
      <c r="KAR1" s="47"/>
      <c r="KAS1" s="47"/>
      <c r="KAT1" s="47"/>
      <c r="KAU1" s="47"/>
      <c r="KAV1" s="47"/>
      <c r="KAW1" s="47"/>
      <c r="KAX1" s="47"/>
      <c r="KAY1" s="47"/>
      <c r="KAZ1" s="47"/>
      <c r="KBA1" s="47"/>
      <c r="KBB1" s="47"/>
      <c r="KBC1" s="47"/>
      <c r="KBD1" s="47"/>
      <c r="KBE1" s="47"/>
      <c r="KBF1" s="47"/>
      <c r="KBG1" s="47"/>
      <c r="KBH1" s="47"/>
      <c r="KBI1" s="47"/>
      <c r="KBJ1" s="47"/>
      <c r="KBK1" s="47"/>
      <c r="KBL1" s="47"/>
      <c r="KBM1" s="47"/>
      <c r="KBN1" s="47"/>
      <c r="KBO1" s="47"/>
      <c r="KBP1" s="47"/>
      <c r="KBQ1" s="47"/>
      <c r="KBR1" s="47"/>
      <c r="KBS1" s="47"/>
      <c r="KBT1" s="47"/>
      <c r="KBU1" s="47"/>
      <c r="KBV1" s="47"/>
      <c r="KBW1" s="47"/>
      <c r="KBX1" s="47"/>
      <c r="KBY1" s="47"/>
      <c r="KBZ1" s="47"/>
      <c r="KCA1" s="47"/>
      <c r="KCB1" s="47"/>
      <c r="KCC1" s="47"/>
      <c r="KCD1" s="47"/>
      <c r="KCE1" s="47"/>
      <c r="KCF1" s="47"/>
      <c r="KCG1" s="47"/>
      <c r="KCH1" s="47"/>
      <c r="KCI1" s="47"/>
      <c r="KCJ1" s="47"/>
      <c r="KCK1" s="47"/>
      <c r="KCL1" s="47"/>
      <c r="KCM1" s="47"/>
      <c r="KCN1" s="47"/>
      <c r="KCO1" s="47"/>
      <c r="KCP1" s="47"/>
      <c r="KCQ1" s="47"/>
      <c r="KCR1" s="47"/>
      <c r="KCS1" s="47"/>
      <c r="KCT1" s="47"/>
      <c r="KCU1" s="47"/>
      <c r="KCV1" s="47"/>
      <c r="KCW1" s="47"/>
      <c r="KCX1" s="47"/>
      <c r="KCY1" s="47"/>
      <c r="KCZ1" s="47"/>
      <c r="KDA1" s="47"/>
      <c r="KDB1" s="47"/>
      <c r="KDC1" s="47"/>
      <c r="KDD1" s="47"/>
      <c r="KDE1" s="47"/>
      <c r="KDF1" s="47"/>
      <c r="KDG1" s="47"/>
      <c r="KDH1" s="47"/>
      <c r="KDI1" s="47"/>
      <c r="KDJ1" s="47"/>
      <c r="KDK1" s="47"/>
      <c r="KDL1" s="47"/>
      <c r="KDM1" s="47"/>
      <c r="KDN1" s="47"/>
      <c r="KDO1" s="47"/>
      <c r="KDP1" s="47"/>
      <c r="KDQ1" s="47"/>
      <c r="KDR1" s="47"/>
      <c r="KDS1" s="47"/>
      <c r="KDT1" s="47"/>
      <c r="KDU1" s="47"/>
      <c r="KDV1" s="47"/>
      <c r="KDW1" s="47"/>
      <c r="KDX1" s="47"/>
      <c r="KDY1" s="47"/>
      <c r="KDZ1" s="47"/>
      <c r="KEA1" s="47"/>
      <c r="KEB1" s="47"/>
      <c r="KEC1" s="47"/>
      <c r="KED1" s="47"/>
      <c r="KEE1" s="47"/>
      <c r="KEF1" s="47"/>
      <c r="KEG1" s="47"/>
      <c r="KEH1" s="47"/>
      <c r="KEI1" s="47"/>
      <c r="KEJ1" s="47"/>
      <c r="KEK1" s="47"/>
      <c r="KEL1" s="47"/>
      <c r="KEM1" s="47"/>
      <c r="KEN1" s="47"/>
      <c r="KEO1" s="47"/>
      <c r="KEP1" s="47"/>
      <c r="KEQ1" s="47"/>
      <c r="KER1" s="47"/>
      <c r="KES1" s="47"/>
      <c r="KET1" s="47"/>
      <c r="KEU1" s="47"/>
      <c r="KEV1" s="47"/>
      <c r="KEW1" s="47"/>
      <c r="KEX1" s="47"/>
      <c r="KEY1" s="47"/>
      <c r="KEZ1" s="47"/>
      <c r="KFA1" s="47"/>
      <c r="KFB1" s="47"/>
      <c r="KFC1" s="47"/>
      <c r="KFD1" s="47"/>
      <c r="KFE1" s="47"/>
      <c r="KFF1" s="47"/>
      <c r="KFG1" s="47"/>
      <c r="KFH1" s="47"/>
      <c r="KFI1" s="47"/>
      <c r="KFJ1" s="47"/>
      <c r="KFK1" s="47"/>
      <c r="KFL1" s="47"/>
      <c r="KFM1" s="47"/>
      <c r="KFN1" s="47"/>
      <c r="KFO1" s="47"/>
      <c r="KFP1" s="47"/>
      <c r="KFQ1" s="47"/>
      <c r="KFR1" s="47"/>
      <c r="KFS1" s="47"/>
      <c r="KFT1" s="47"/>
      <c r="KFU1" s="47"/>
      <c r="KFV1" s="47"/>
      <c r="KFW1" s="47"/>
      <c r="KFX1" s="47"/>
      <c r="KFY1" s="47"/>
      <c r="KFZ1" s="47"/>
      <c r="KGA1" s="47"/>
      <c r="KGB1" s="47"/>
      <c r="KGC1" s="47"/>
      <c r="KGD1" s="47"/>
      <c r="KGE1" s="47"/>
      <c r="KGF1" s="47"/>
      <c r="KGG1" s="47"/>
      <c r="KGH1" s="47"/>
      <c r="KGI1" s="47"/>
      <c r="KGJ1" s="47"/>
      <c r="KGK1" s="47"/>
      <c r="KGL1" s="47"/>
      <c r="KGM1" s="47"/>
      <c r="KGN1" s="47"/>
      <c r="KGO1" s="47"/>
      <c r="KGP1" s="47"/>
      <c r="KGQ1" s="47"/>
      <c r="KGR1" s="47"/>
      <c r="KGS1" s="47"/>
      <c r="KGT1" s="47"/>
      <c r="KGU1" s="47"/>
      <c r="KGV1" s="47"/>
      <c r="KGW1" s="47"/>
      <c r="KGX1" s="47"/>
      <c r="KGY1" s="47"/>
      <c r="KGZ1" s="47"/>
      <c r="KHA1" s="47"/>
      <c r="KHB1" s="47"/>
      <c r="KHC1" s="47"/>
      <c r="KHD1" s="47"/>
      <c r="KHE1" s="47"/>
      <c r="KHF1" s="47"/>
      <c r="KHG1" s="47"/>
      <c r="KHH1" s="47"/>
      <c r="KHI1" s="47"/>
      <c r="KHJ1" s="47"/>
      <c r="KHK1" s="47"/>
      <c r="KHL1" s="47"/>
      <c r="KHM1" s="47"/>
      <c r="KHN1" s="47"/>
      <c r="KHO1" s="47"/>
      <c r="KHP1" s="47"/>
      <c r="KHQ1" s="47"/>
      <c r="KHR1" s="47"/>
      <c r="KHS1" s="47"/>
      <c r="KHT1" s="47"/>
      <c r="KHU1" s="47"/>
      <c r="KHV1" s="47"/>
      <c r="KHW1" s="47"/>
      <c r="KHX1" s="47"/>
      <c r="KHY1" s="47"/>
      <c r="KHZ1" s="47"/>
      <c r="KIA1" s="47"/>
      <c r="KIB1" s="47"/>
      <c r="KIC1" s="47"/>
      <c r="KID1" s="47"/>
      <c r="KIE1" s="47"/>
      <c r="KIF1" s="47"/>
      <c r="KIG1" s="47"/>
      <c r="KIH1" s="47"/>
      <c r="KII1" s="47"/>
      <c r="KIJ1" s="47"/>
      <c r="KIK1" s="47"/>
      <c r="KIL1" s="47"/>
      <c r="KIM1" s="47"/>
      <c r="KIN1" s="47"/>
      <c r="KIO1" s="47"/>
      <c r="KIP1" s="47"/>
      <c r="KIQ1" s="47"/>
      <c r="KIR1" s="47"/>
      <c r="KIS1" s="47"/>
      <c r="KIT1" s="47"/>
      <c r="KIU1" s="47"/>
      <c r="KIV1" s="47"/>
      <c r="KIW1" s="47"/>
      <c r="KIX1" s="47"/>
      <c r="KIY1" s="47"/>
      <c r="KIZ1" s="47"/>
      <c r="KJA1" s="47"/>
      <c r="KJB1" s="47"/>
      <c r="KJC1" s="47"/>
      <c r="KJD1" s="47"/>
      <c r="KJE1" s="47"/>
      <c r="KJF1" s="47"/>
      <c r="KJG1" s="47"/>
      <c r="KJH1" s="47"/>
      <c r="KJI1" s="47"/>
      <c r="KJJ1" s="47"/>
      <c r="KJK1" s="47"/>
      <c r="KJL1" s="47"/>
      <c r="KJM1" s="47"/>
      <c r="KJN1" s="47"/>
      <c r="KJO1" s="47"/>
      <c r="KJP1" s="47"/>
      <c r="KJQ1" s="47"/>
      <c r="KJR1" s="47"/>
      <c r="KJS1" s="47"/>
      <c r="KJT1" s="47"/>
      <c r="KJU1" s="47"/>
      <c r="KJV1" s="47"/>
      <c r="KJW1" s="47"/>
      <c r="KJX1" s="47"/>
      <c r="KJY1" s="47"/>
      <c r="KJZ1" s="47"/>
      <c r="KKA1" s="47"/>
      <c r="KKB1" s="47"/>
      <c r="KKC1" s="47"/>
      <c r="KKD1" s="47"/>
      <c r="KKE1" s="47"/>
      <c r="KKF1" s="47"/>
      <c r="KKG1" s="47"/>
      <c r="KKH1" s="47"/>
      <c r="KKI1" s="47"/>
      <c r="KKJ1" s="47"/>
      <c r="KKK1" s="47"/>
      <c r="KKL1" s="47"/>
      <c r="KKM1" s="47"/>
      <c r="KKN1" s="47"/>
      <c r="KKO1" s="47"/>
      <c r="KKP1" s="47"/>
      <c r="KKQ1" s="47"/>
      <c r="KKR1" s="47"/>
      <c r="KKS1" s="47"/>
      <c r="KKT1" s="47"/>
      <c r="KKU1" s="47"/>
      <c r="KKV1" s="47"/>
      <c r="KKW1" s="47"/>
      <c r="KKX1" s="47"/>
      <c r="KKY1" s="47"/>
      <c r="KKZ1" s="47"/>
      <c r="KLA1" s="47"/>
      <c r="KLB1" s="47"/>
      <c r="KLC1" s="47"/>
      <c r="KLD1" s="47"/>
      <c r="KLE1" s="47"/>
      <c r="KLF1" s="47"/>
      <c r="KLG1" s="47"/>
      <c r="KLH1" s="47"/>
      <c r="KLI1" s="47"/>
      <c r="KLJ1" s="47"/>
      <c r="KLK1" s="47"/>
      <c r="KLL1" s="47"/>
      <c r="KLM1" s="47"/>
      <c r="KLN1" s="47"/>
      <c r="KLO1" s="47"/>
      <c r="KLP1" s="47"/>
      <c r="KLQ1" s="47"/>
      <c r="KLR1" s="47"/>
      <c r="KLS1" s="47"/>
      <c r="KLT1" s="47"/>
      <c r="KLU1" s="47"/>
      <c r="KLV1" s="47"/>
      <c r="KLW1" s="47"/>
      <c r="KLX1" s="47"/>
      <c r="KLY1" s="47"/>
      <c r="KLZ1" s="47"/>
      <c r="KMA1" s="47"/>
      <c r="KMB1" s="47"/>
      <c r="KMC1" s="47"/>
      <c r="KMD1" s="47"/>
      <c r="KME1" s="47"/>
      <c r="KMF1" s="47"/>
      <c r="KMG1" s="47"/>
      <c r="KMH1" s="47"/>
      <c r="KMI1" s="47"/>
      <c r="KMJ1" s="47"/>
      <c r="KMK1" s="47"/>
      <c r="KML1" s="47"/>
      <c r="KMM1" s="47"/>
      <c r="KMN1" s="47"/>
      <c r="KMO1" s="47"/>
      <c r="KMP1" s="47"/>
      <c r="KMQ1" s="47"/>
      <c r="KMR1" s="47"/>
      <c r="KMS1" s="47"/>
      <c r="KMT1" s="47"/>
      <c r="KMU1" s="47"/>
      <c r="KMV1" s="47"/>
      <c r="KMW1" s="47"/>
      <c r="KMX1" s="47"/>
      <c r="KMY1" s="47"/>
      <c r="KMZ1" s="47"/>
      <c r="KNA1" s="47"/>
      <c r="KNB1" s="47"/>
      <c r="KNC1" s="47"/>
      <c r="KND1" s="47"/>
      <c r="KNE1" s="47"/>
      <c r="KNF1" s="47"/>
      <c r="KNG1" s="47"/>
      <c r="KNH1" s="47"/>
      <c r="KNI1" s="47"/>
      <c r="KNJ1" s="47"/>
      <c r="KNK1" s="47"/>
      <c r="KNL1" s="47"/>
      <c r="KNM1" s="47"/>
      <c r="KNN1" s="47"/>
      <c r="KNO1" s="47"/>
      <c r="KNP1" s="47"/>
      <c r="KNQ1" s="47"/>
      <c r="KNR1" s="47"/>
      <c r="KNS1" s="47"/>
      <c r="KNT1" s="47"/>
      <c r="KNU1" s="47"/>
      <c r="KNV1" s="47"/>
      <c r="KNW1" s="47"/>
      <c r="KNX1" s="47"/>
      <c r="KNY1" s="47"/>
      <c r="KNZ1" s="47"/>
      <c r="KOA1" s="47"/>
      <c r="KOB1" s="47"/>
      <c r="KOC1" s="47"/>
      <c r="KOD1" s="47"/>
      <c r="KOE1" s="47"/>
      <c r="KOF1" s="47"/>
      <c r="KOG1" s="47"/>
      <c r="KOH1" s="47"/>
      <c r="KOI1" s="47"/>
      <c r="KOJ1" s="47"/>
      <c r="KOK1" s="47"/>
      <c r="KOL1" s="47"/>
      <c r="KOM1" s="47"/>
      <c r="KON1" s="47"/>
      <c r="KOO1" s="47"/>
      <c r="KOP1" s="47"/>
      <c r="KOQ1" s="47"/>
      <c r="KOR1" s="47"/>
      <c r="KOS1" s="47"/>
      <c r="KOT1" s="47"/>
      <c r="KOU1" s="47"/>
      <c r="KOV1" s="47"/>
      <c r="KOW1" s="47"/>
      <c r="KOX1" s="47"/>
      <c r="KOY1" s="47"/>
      <c r="KOZ1" s="47"/>
      <c r="KPA1" s="47"/>
      <c r="KPB1" s="47"/>
      <c r="KPC1" s="47"/>
      <c r="KPD1" s="47"/>
      <c r="KPE1" s="47"/>
      <c r="KPF1" s="47"/>
      <c r="KPG1" s="47"/>
      <c r="KPH1" s="47"/>
      <c r="KPI1" s="47"/>
      <c r="KPJ1" s="47"/>
      <c r="KPK1" s="47"/>
      <c r="KPL1" s="47"/>
      <c r="KPM1" s="47"/>
      <c r="KPN1" s="47"/>
      <c r="KPO1" s="47"/>
      <c r="KPP1" s="47"/>
      <c r="KPQ1" s="47"/>
      <c r="KPR1" s="47"/>
      <c r="KPS1" s="47"/>
      <c r="KPT1" s="47"/>
      <c r="KPU1" s="47"/>
      <c r="KPV1" s="47"/>
      <c r="KPW1" s="47"/>
      <c r="KPX1" s="47"/>
      <c r="KPY1" s="47"/>
      <c r="KPZ1" s="47"/>
      <c r="KQA1" s="47"/>
      <c r="KQB1" s="47"/>
      <c r="KQC1" s="47"/>
      <c r="KQD1" s="47"/>
      <c r="KQE1" s="47"/>
      <c r="KQF1" s="47"/>
      <c r="KQG1" s="47"/>
      <c r="KQH1" s="47"/>
      <c r="KQI1" s="47"/>
      <c r="KQJ1" s="47"/>
      <c r="KQK1" s="47"/>
      <c r="KQL1" s="47"/>
      <c r="KQM1" s="47"/>
      <c r="KQN1" s="47"/>
      <c r="KQO1" s="47"/>
      <c r="KQP1" s="47"/>
      <c r="KQQ1" s="47"/>
      <c r="KQR1" s="47"/>
      <c r="KQS1" s="47"/>
      <c r="KQT1" s="47"/>
      <c r="KQU1" s="47"/>
      <c r="KQV1" s="47"/>
      <c r="KQW1" s="47"/>
      <c r="KQX1" s="47"/>
      <c r="KQY1" s="47"/>
      <c r="KQZ1" s="47"/>
      <c r="KRA1" s="47"/>
      <c r="KRB1" s="47"/>
      <c r="KRC1" s="47"/>
      <c r="KRD1" s="47"/>
      <c r="KRE1" s="47"/>
      <c r="KRF1" s="47"/>
      <c r="KRG1" s="47"/>
      <c r="KRH1" s="47"/>
      <c r="KRI1" s="47"/>
      <c r="KRJ1" s="47"/>
      <c r="KRK1" s="47"/>
      <c r="KRL1" s="47"/>
      <c r="KRM1" s="47"/>
      <c r="KRN1" s="47"/>
      <c r="KRO1" s="47"/>
      <c r="KRP1" s="47"/>
      <c r="KRQ1" s="47"/>
      <c r="KRR1" s="47"/>
      <c r="KRS1" s="47"/>
      <c r="KRT1" s="47"/>
      <c r="KRU1" s="47"/>
      <c r="KRV1" s="47"/>
      <c r="KRW1" s="47"/>
      <c r="KRX1" s="47"/>
      <c r="KRY1" s="47"/>
      <c r="KRZ1" s="47"/>
      <c r="KSA1" s="47"/>
      <c r="KSB1" s="47"/>
      <c r="KSC1" s="47"/>
      <c r="KSD1" s="47"/>
      <c r="KSE1" s="47"/>
      <c r="KSF1" s="47"/>
      <c r="KSG1" s="47"/>
      <c r="KSH1" s="47"/>
      <c r="KSI1" s="47"/>
      <c r="KSJ1" s="47"/>
      <c r="KSK1" s="47"/>
      <c r="KSL1" s="47"/>
      <c r="KSM1" s="47"/>
      <c r="KSN1" s="47"/>
      <c r="KSO1" s="47"/>
      <c r="KSP1" s="47"/>
      <c r="KSQ1" s="47"/>
      <c r="KSR1" s="47"/>
      <c r="KSS1" s="47"/>
      <c r="KST1" s="47"/>
      <c r="KSU1" s="47"/>
      <c r="KSV1" s="47"/>
      <c r="KSW1" s="47"/>
      <c r="KSX1" s="47"/>
      <c r="KSY1" s="47"/>
      <c r="KSZ1" s="47"/>
      <c r="KTA1" s="47"/>
      <c r="KTB1" s="47"/>
      <c r="KTC1" s="47"/>
      <c r="KTD1" s="47"/>
      <c r="KTE1" s="47"/>
      <c r="KTF1" s="47"/>
      <c r="KTG1" s="47"/>
      <c r="KTH1" s="47"/>
      <c r="KTI1" s="47"/>
      <c r="KTJ1" s="47"/>
      <c r="KTK1" s="47"/>
      <c r="KTL1" s="47"/>
      <c r="KTM1" s="47"/>
      <c r="KTN1" s="47"/>
      <c r="KTO1" s="47"/>
      <c r="KTP1" s="47"/>
      <c r="KTQ1" s="47"/>
      <c r="KTR1" s="47"/>
      <c r="KTS1" s="47"/>
      <c r="KTT1" s="47"/>
      <c r="KTU1" s="47"/>
      <c r="KTV1" s="47"/>
      <c r="KTW1" s="47"/>
      <c r="KTX1" s="47"/>
      <c r="KTY1" s="47"/>
      <c r="KTZ1" s="47"/>
      <c r="KUA1" s="47"/>
      <c r="KUB1" s="47"/>
      <c r="KUC1" s="47"/>
      <c r="KUD1" s="47"/>
      <c r="KUE1" s="47"/>
      <c r="KUF1" s="47"/>
      <c r="KUG1" s="47"/>
      <c r="KUH1" s="47"/>
      <c r="KUI1" s="47"/>
      <c r="KUJ1" s="47"/>
      <c r="KUK1" s="47"/>
      <c r="KUL1" s="47"/>
      <c r="KUM1" s="47"/>
      <c r="KUN1" s="47"/>
      <c r="KUO1" s="47"/>
      <c r="KUP1" s="47"/>
      <c r="KUQ1" s="47"/>
      <c r="KUR1" s="47"/>
      <c r="KUS1" s="47"/>
      <c r="KUT1" s="47"/>
      <c r="KUU1" s="47"/>
      <c r="KUV1" s="47"/>
      <c r="KUW1" s="47"/>
      <c r="KUX1" s="47"/>
      <c r="KUY1" s="47"/>
      <c r="KUZ1" s="47"/>
      <c r="KVA1" s="47"/>
      <c r="KVB1" s="47"/>
      <c r="KVC1" s="47"/>
      <c r="KVD1" s="47"/>
      <c r="KVE1" s="47"/>
      <c r="KVF1" s="47"/>
      <c r="KVG1" s="47"/>
      <c r="KVH1" s="47"/>
      <c r="KVI1" s="47"/>
      <c r="KVJ1" s="47"/>
      <c r="KVK1" s="47"/>
      <c r="KVL1" s="47"/>
      <c r="KVM1" s="47"/>
      <c r="KVN1" s="47"/>
      <c r="KVO1" s="47"/>
      <c r="KVP1" s="47"/>
      <c r="KVQ1" s="47"/>
      <c r="KVR1" s="47"/>
      <c r="KVS1" s="47"/>
      <c r="KVT1" s="47"/>
      <c r="KVU1" s="47"/>
      <c r="KVV1" s="47"/>
      <c r="KVW1" s="47"/>
      <c r="KVX1" s="47"/>
      <c r="KVY1" s="47"/>
      <c r="KVZ1" s="47"/>
      <c r="KWA1" s="47"/>
      <c r="KWB1" s="47"/>
      <c r="KWC1" s="47"/>
      <c r="KWD1" s="47"/>
      <c r="KWE1" s="47"/>
      <c r="KWF1" s="47"/>
      <c r="KWG1" s="47"/>
      <c r="KWH1" s="47"/>
      <c r="KWI1" s="47"/>
      <c r="KWJ1" s="47"/>
      <c r="KWK1" s="47"/>
      <c r="KWL1" s="47"/>
      <c r="KWM1" s="47"/>
      <c r="KWN1" s="47"/>
      <c r="KWO1" s="47"/>
      <c r="KWP1" s="47"/>
      <c r="KWQ1" s="47"/>
      <c r="KWR1" s="47"/>
      <c r="KWS1" s="47"/>
      <c r="KWT1" s="47"/>
      <c r="KWU1" s="47"/>
      <c r="KWV1" s="47"/>
      <c r="KWW1" s="47"/>
      <c r="KWX1" s="47"/>
      <c r="KWY1" s="47"/>
      <c r="KWZ1" s="47"/>
      <c r="KXA1" s="47"/>
      <c r="KXB1" s="47"/>
      <c r="KXC1" s="47"/>
      <c r="KXD1" s="47"/>
      <c r="KXE1" s="47"/>
      <c r="KXF1" s="47"/>
      <c r="KXG1" s="47"/>
      <c r="KXH1" s="47"/>
      <c r="KXI1" s="47"/>
      <c r="KXJ1" s="47"/>
      <c r="KXK1" s="47"/>
      <c r="KXL1" s="47"/>
      <c r="KXM1" s="47"/>
      <c r="KXN1" s="47"/>
      <c r="KXO1" s="47"/>
      <c r="KXP1" s="47"/>
      <c r="KXQ1" s="47"/>
      <c r="KXR1" s="47"/>
      <c r="KXS1" s="47"/>
      <c r="KXT1" s="47"/>
      <c r="KXU1" s="47"/>
      <c r="KXV1" s="47"/>
      <c r="KXW1" s="47"/>
      <c r="KXX1" s="47"/>
      <c r="KXY1" s="47"/>
      <c r="KXZ1" s="47"/>
      <c r="KYA1" s="47"/>
      <c r="KYB1" s="47"/>
      <c r="KYC1" s="47"/>
      <c r="KYD1" s="47"/>
      <c r="KYE1" s="47"/>
      <c r="KYF1" s="47"/>
      <c r="KYG1" s="47"/>
      <c r="KYH1" s="47"/>
      <c r="KYI1" s="47"/>
      <c r="KYJ1" s="47"/>
      <c r="KYK1" s="47"/>
      <c r="KYL1" s="47"/>
      <c r="KYM1" s="47"/>
      <c r="KYN1" s="47"/>
      <c r="KYO1" s="47"/>
      <c r="KYP1" s="47"/>
      <c r="KYQ1" s="47"/>
      <c r="KYR1" s="47"/>
      <c r="KYS1" s="47"/>
      <c r="KYT1" s="47"/>
      <c r="KYU1" s="47"/>
      <c r="KYV1" s="47"/>
      <c r="KYW1" s="47"/>
      <c r="KYX1" s="47"/>
      <c r="KYY1" s="47"/>
      <c r="KYZ1" s="47"/>
      <c r="KZA1" s="47"/>
      <c r="KZB1" s="47"/>
      <c r="KZC1" s="47"/>
      <c r="KZD1" s="47"/>
      <c r="KZE1" s="47"/>
      <c r="KZF1" s="47"/>
      <c r="KZG1" s="47"/>
      <c r="KZH1" s="47"/>
      <c r="KZI1" s="47"/>
      <c r="KZJ1" s="47"/>
      <c r="KZK1" s="47"/>
      <c r="KZL1" s="47"/>
      <c r="KZM1" s="47"/>
      <c r="KZN1" s="47"/>
      <c r="KZO1" s="47"/>
      <c r="KZP1" s="47"/>
      <c r="KZQ1" s="47"/>
      <c r="KZR1" s="47"/>
      <c r="KZS1" s="47"/>
      <c r="KZT1" s="47"/>
      <c r="KZU1" s="47"/>
      <c r="KZV1" s="47"/>
      <c r="KZW1" s="47"/>
      <c r="KZX1" s="47"/>
      <c r="KZY1" s="47"/>
      <c r="KZZ1" s="47"/>
      <c r="LAA1" s="47"/>
      <c r="LAB1" s="47"/>
      <c r="LAC1" s="47"/>
      <c r="LAD1" s="47"/>
      <c r="LAE1" s="47"/>
      <c r="LAF1" s="47"/>
      <c r="LAG1" s="47"/>
      <c r="LAH1" s="47"/>
      <c r="LAI1" s="47"/>
      <c r="LAJ1" s="47"/>
      <c r="LAK1" s="47"/>
      <c r="LAL1" s="47"/>
      <c r="LAM1" s="47"/>
      <c r="LAN1" s="47"/>
      <c r="LAO1" s="47"/>
      <c r="LAP1" s="47"/>
      <c r="LAQ1" s="47"/>
      <c r="LAR1" s="47"/>
      <c r="LAS1" s="47"/>
      <c r="LAT1" s="47"/>
      <c r="LAU1" s="47"/>
      <c r="LAV1" s="47"/>
      <c r="LAW1" s="47"/>
      <c r="LAX1" s="47"/>
      <c r="LAY1" s="47"/>
      <c r="LAZ1" s="47"/>
      <c r="LBA1" s="47"/>
      <c r="LBB1" s="47"/>
      <c r="LBC1" s="47"/>
      <c r="LBD1" s="47"/>
      <c r="LBE1" s="47"/>
      <c r="LBF1" s="47"/>
      <c r="LBG1" s="47"/>
      <c r="LBH1" s="47"/>
      <c r="LBI1" s="47"/>
      <c r="LBJ1" s="47"/>
      <c r="LBK1" s="47"/>
      <c r="LBL1" s="47"/>
      <c r="LBM1" s="47"/>
      <c r="LBN1" s="47"/>
      <c r="LBO1" s="47"/>
      <c r="LBP1" s="47"/>
      <c r="LBQ1" s="47"/>
      <c r="LBR1" s="47"/>
      <c r="LBS1" s="47"/>
      <c r="LBT1" s="47"/>
      <c r="LBU1" s="47"/>
      <c r="LBV1" s="47"/>
      <c r="LBW1" s="47"/>
      <c r="LBX1" s="47"/>
      <c r="LBY1" s="47"/>
      <c r="LBZ1" s="47"/>
      <c r="LCA1" s="47"/>
      <c r="LCB1" s="47"/>
      <c r="LCC1" s="47"/>
      <c r="LCD1" s="47"/>
      <c r="LCE1" s="47"/>
      <c r="LCF1" s="47"/>
      <c r="LCG1" s="47"/>
      <c r="LCH1" s="47"/>
      <c r="LCI1" s="47"/>
      <c r="LCJ1" s="47"/>
      <c r="LCK1" s="47"/>
      <c r="LCL1" s="47"/>
      <c r="LCM1" s="47"/>
      <c r="LCN1" s="47"/>
      <c r="LCO1" s="47"/>
      <c r="LCP1" s="47"/>
      <c r="LCQ1" s="47"/>
      <c r="LCR1" s="47"/>
      <c r="LCS1" s="47"/>
      <c r="LCT1" s="47"/>
      <c r="LCU1" s="47"/>
      <c r="LCV1" s="47"/>
      <c r="LCW1" s="47"/>
      <c r="LCX1" s="47"/>
      <c r="LCY1" s="47"/>
      <c r="LCZ1" s="47"/>
      <c r="LDA1" s="47"/>
      <c r="LDB1" s="47"/>
      <c r="LDC1" s="47"/>
      <c r="LDD1" s="47"/>
      <c r="LDE1" s="47"/>
      <c r="LDF1" s="47"/>
      <c r="LDG1" s="47"/>
      <c r="LDH1" s="47"/>
      <c r="LDI1" s="47"/>
      <c r="LDJ1" s="47"/>
      <c r="LDK1" s="47"/>
      <c r="LDL1" s="47"/>
      <c r="LDM1" s="47"/>
      <c r="LDN1" s="47"/>
      <c r="LDO1" s="47"/>
      <c r="LDP1" s="47"/>
      <c r="LDQ1" s="47"/>
      <c r="LDR1" s="47"/>
      <c r="LDS1" s="47"/>
      <c r="LDT1" s="47"/>
      <c r="LDU1" s="47"/>
      <c r="LDV1" s="47"/>
      <c r="LDW1" s="47"/>
      <c r="LDX1" s="47"/>
      <c r="LDY1" s="47"/>
      <c r="LDZ1" s="47"/>
      <c r="LEA1" s="47"/>
      <c r="LEB1" s="47"/>
      <c r="LEC1" s="47"/>
      <c r="LED1" s="47"/>
      <c r="LEE1" s="47"/>
      <c r="LEF1" s="47"/>
      <c r="LEG1" s="47"/>
      <c r="LEH1" s="47"/>
      <c r="LEI1" s="47"/>
      <c r="LEJ1" s="47"/>
      <c r="LEK1" s="47"/>
      <c r="LEL1" s="47"/>
      <c r="LEM1" s="47"/>
      <c r="LEN1" s="47"/>
      <c r="LEO1" s="47"/>
      <c r="LEP1" s="47"/>
      <c r="LEQ1" s="47"/>
      <c r="LER1" s="47"/>
      <c r="LES1" s="47"/>
      <c r="LET1" s="47"/>
      <c r="LEU1" s="47"/>
      <c r="LEV1" s="47"/>
      <c r="LEW1" s="47"/>
      <c r="LEX1" s="47"/>
      <c r="LEY1" s="47"/>
      <c r="LEZ1" s="47"/>
      <c r="LFA1" s="47"/>
      <c r="LFB1" s="47"/>
      <c r="LFC1" s="47"/>
      <c r="LFD1" s="47"/>
      <c r="LFE1" s="47"/>
      <c r="LFF1" s="47"/>
      <c r="LFG1" s="47"/>
      <c r="LFH1" s="47"/>
      <c r="LFI1" s="47"/>
      <c r="LFJ1" s="47"/>
      <c r="LFK1" s="47"/>
      <c r="LFL1" s="47"/>
      <c r="LFM1" s="47"/>
      <c r="LFN1" s="47"/>
      <c r="LFO1" s="47"/>
      <c r="LFP1" s="47"/>
      <c r="LFQ1" s="47"/>
      <c r="LFR1" s="47"/>
      <c r="LFS1" s="47"/>
      <c r="LFT1" s="47"/>
      <c r="LFU1" s="47"/>
      <c r="LFV1" s="47"/>
      <c r="LFW1" s="47"/>
      <c r="LFX1" s="47"/>
      <c r="LFY1" s="47"/>
      <c r="LFZ1" s="47"/>
      <c r="LGA1" s="47"/>
      <c r="LGB1" s="47"/>
      <c r="LGC1" s="47"/>
      <c r="LGD1" s="47"/>
      <c r="LGE1" s="47"/>
      <c r="LGF1" s="47"/>
      <c r="LGG1" s="47"/>
      <c r="LGH1" s="47"/>
      <c r="LGI1" s="47"/>
      <c r="LGJ1" s="47"/>
      <c r="LGK1" s="47"/>
      <c r="LGL1" s="47"/>
      <c r="LGM1" s="47"/>
      <c r="LGN1" s="47"/>
      <c r="LGO1" s="47"/>
      <c r="LGP1" s="47"/>
      <c r="LGQ1" s="47"/>
      <c r="LGR1" s="47"/>
      <c r="LGS1" s="47"/>
      <c r="LGT1" s="47"/>
      <c r="LGU1" s="47"/>
      <c r="LGV1" s="47"/>
      <c r="LGW1" s="47"/>
      <c r="LGX1" s="47"/>
      <c r="LGY1" s="47"/>
      <c r="LGZ1" s="47"/>
      <c r="LHA1" s="47"/>
      <c r="LHB1" s="47"/>
      <c r="LHC1" s="47"/>
      <c r="LHD1" s="47"/>
      <c r="LHE1" s="47"/>
      <c r="LHF1" s="47"/>
      <c r="LHG1" s="47"/>
      <c r="LHH1" s="47"/>
      <c r="LHI1" s="47"/>
      <c r="LHJ1" s="47"/>
      <c r="LHK1" s="47"/>
      <c r="LHL1" s="47"/>
      <c r="LHM1" s="47"/>
      <c r="LHN1" s="47"/>
      <c r="LHO1" s="47"/>
      <c r="LHP1" s="47"/>
      <c r="LHQ1" s="47"/>
      <c r="LHR1" s="47"/>
      <c r="LHS1" s="47"/>
      <c r="LHT1" s="47"/>
      <c r="LHU1" s="47"/>
      <c r="LHV1" s="47"/>
      <c r="LHW1" s="47"/>
      <c r="LHX1" s="47"/>
      <c r="LHY1" s="47"/>
      <c r="LHZ1" s="47"/>
      <c r="LIA1" s="47"/>
      <c r="LIB1" s="47"/>
      <c r="LIC1" s="47"/>
      <c r="LID1" s="47"/>
      <c r="LIE1" s="47"/>
      <c r="LIF1" s="47"/>
      <c r="LIG1" s="47"/>
      <c r="LIH1" s="47"/>
      <c r="LII1" s="47"/>
      <c r="LIJ1" s="47"/>
      <c r="LIK1" s="47"/>
      <c r="LIL1" s="47"/>
      <c r="LIM1" s="47"/>
      <c r="LIN1" s="47"/>
      <c r="LIO1" s="47"/>
      <c r="LIP1" s="47"/>
      <c r="LIQ1" s="47"/>
      <c r="LIR1" s="47"/>
      <c r="LIS1" s="47"/>
      <c r="LIT1" s="47"/>
      <c r="LIU1" s="47"/>
      <c r="LIV1" s="47"/>
      <c r="LIW1" s="47"/>
      <c r="LIX1" s="47"/>
      <c r="LIY1" s="47"/>
      <c r="LIZ1" s="47"/>
      <c r="LJA1" s="47"/>
      <c r="LJB1" s="47"/>
      <c r="LJC1" s="47"/>
      <c r="LJD1" s="47"/>
      <c r="LJE1" s="47"/>
      <c r="LJF1" s="47"/>
      <c r="LJG1" s="47"/>
      <c r="LJH1" s="47"/>
      <c r="LJI1" s="47"/>
      <c r="LJJ1" s="47"/>
      <c r="LJK1" s="47"/>
      <c r="LJL1" s="47"/>
      <c r="LJM1" s="47"/>
      <c r="LJN1" s="47"/>
      <c r="LJO1" s="47"/>
      <c r="LJP1" s="47"/>
      <c r="LJQ1" s="47"/>
      <c r="LJR1" s="47"/>
      <c r="LJS1" s="47"/>
      <c r="LJT1" s="47"/>
      <c r="LJU1" s="47"/>
      <c r="LJV1" s="47"/>
      <c r="LJW1" s="47"/>
      <c r="LJX1" s="47"/>
      <c r="LJY1" s="47"/>
      <c r="LJZ1" s="47"/>
      <c r="LKA1" s="47"/>
      <c r="LKB1" s="47"/>
      <c r="LKC1" s="47"/>
      <c r="LKD1" s="47"/>
      <c r="LKE1" s="47"/>
      <c r="LKF1" s="47"/>
      <c r="LKG1" s="47"/>
      <c r="LKH1" s="47"/>
      <c r="LKI1" s="47"/>
      <c r="LKJ1" s="47"/>
      <c r="LKK1" s="47"/>
      <c r="LKL1" s="47"/>
      <c r="LKM1" s="47"/>
      <c r="LKN1" s="47"/>
      <c r="LKO1" s="47"/>
      <c r="LKP1" s="47"/>
      <c r="LKQ1" s="47"/>
      <c r="LKR1" s="47"/>
      <c r="LKS1" s="47"/>
      <c r="LKT1" s="47"/>
      <c r="LKU1" s="47"/>
      <c r="LKV1" s="47"/>
      <c r="LKW1" s="47"/>
      <c r="LKX1" s="47"/>
      <c r="LKY1" s="47"/>
      <c r="LKZ1" s="47"/>
      <c r="LLA1" s="47"/>
      <c r="LLB1" s="47"/>
      <c r="LLC1" s="47"/>
      <c r="LLD1" s="47"/>
      <c r="LLE1" s="47"/>
      <c r="LLF1" s="47"/>
      <c r="LLG1" s="47"/>
      <c r="LLH1" s="47"/>
      <c r="LLI1" s="47"/>
      <c r="LLJ1" s="47"/>
      <c r="LLK1" s="47"/>
      <c r="LLL1" s="47"/>
      <c r="LLM1" s="47"/>
      <c r="LLN1" s="47"/>
      <c r="LLO1" s="47"/>
      <c r="LLP1" s="47"/>
      <c r="LLQ1" s="47"/>
      <c r="LLR1" s="47"/>
      <c r="LLS1" s="47"/>
      <c r="LLT1" s="47"/>
      <c r="LLU1" s="47"/>
      <c r="LLV1" s="47"/>
      <c r="LLW1" s="47"/>
      <c r="LLX1" s="47"/>
      <c r="LLY1" s="47"/>
      <c r="LLZ1" s="47"/>
      <c r="LMA1" s="47"/>
      <c r="LMB1" s="47"/>
      <c r="LMC1" s="47"/>
      <c r="LMD1" s="47"/>
      <c r="LME1" s="47"/>
      <c r="LMF1" s="47"/>
      <c r="LMG1" s="47"/>
      <c r="LMH1" s="47"/>
      <c r="LMI1" s="47"/>
      <c r="LMJ1" s="47"/>
      <c r="LMK1" s="47"/>
      <c r="LML1" s="47"/>
      <c r="LMM1" s="47"/>
      <c r="LMN1" s="47"/>
      <c r="LMO1" s="47"/>
      <c r="LMP1" s="47"/>
      <c r="LMQ1" s="47"/>
      <c r="LMR1" s="47"/>
      <c r="LMS1" s="47"/>
      <c r="LMT1" s="47"/>
      <c r="LMU1" s="47"/>
      <c r="LMV1" s="47"/>
      <c r="LMW1" s="47"/>
      <c r="LMX1" s="47"/>
      <c r="LMY1" s="47"/>
      <c r="LMZ1" s="47"/>
      <c r="LNA1" s="47"/>
      <c r="LNB1" s="47"/>
      <c r="LNC1" s="47"/>
      <c r="LND1" s="47"/>
      <c r="LNE1" s="47"/>
      <c r="LNF1" s="47"/>
      <c r="LNG1" s="47"/>
      <c r="LNH1" s="47"/>
      <c r="LNI1" s="47"/>
      <c r="LNJ1" s="47"/>
      <c r="LNK1" s="47"/>
      <c r="LNL1" s="47"/>
      <c r="LNM1" s="47"/>
      <c r="LNN1" s="47"/>
      <c r="LNO1" s="47"/>
      <c r="LNP1" s="47"/>
      <c r="LNQ1" s="47"/>
      <c r="LNR1" s="47"/>
      <c r="LNS1" s="47"/>
      <c r="LNT1" s="47"/>
      <c r="LNU1" s="47"/>
      <c r="LNV1" s="47"/>
      <c r="LNW1" s="47"/>
      <c r="LNX1" s="47"/>
      <c r="LNY1" s="47"/>
      <c r="LNZ1" s="47"/>
      <c r="LOA1" s="47"/>
      <c r="LOB1" s="47"/>
      <c r="LOC1" s="47"/>
      <c r="LOD1" s="47"/>
      <c r="LOE1" s="47"/>
      <c r="LOF1" s="47"/>
      <c r="LOG1" s="47"/>
      <c r="LOH1" s="47"/>
      <c r="LOI1" s="47"/>
      <c r="LOJ1" s="47"/>
      <c r="LOK1" s="47"/>
      <c r="LOL1" s="47"/>
      <c r="LOM1" s="47"/>
      <c r="LON1" s="47"/>
      <c r="LOO1" s="47"/>
      <c r="LOP1" s="47"/>
      <c r="LOQ1" s="47"/>
      <c r="LOR1" s="47"/>
      <c r="LOS1" s="47"/>
      <c r="LOT1" s="47"/>
      <c r="LOU1" s="47"/>
      <c r="LOV1" s="47"/>
      <c r="LOW1" s="47"/>
      <c r="LOX1" s="47"/>
      <c r="LOY1" s="47"/>
      <c r="LOZ1" s="47"/>
      <c r="LPA1" s="47"/>
      <c r="LPB1" s="47"/>
      <c r="LPC1" s="47"/>
      <c r="LPD1" s="47"/>
      <c r="LPE1" s="47"/>
      <c r="LPF1" s="47"/>
      <c r="LPG1" s="47"/>
      <c r="LPH1" s="47"/>
      <c r="LPI1" s="47"/>
      <c r="LPJ1" s="47"/>
      <c r="LPK1" s="47"/>
      <c r="LPL1" s="47"/>
      <c r="LPM1" s="47"/>
      <c r="LPN1" s="47"/>
      <c r="LPO1" s="47"/>
      <c r="LPP1" s="47"/>
      <c r="LPQ1" s="47"/>
      <c r="LPR1" s="47"/>
      <c r="LPS1" s="47"/>
      <c r="LPT1" s="47"/>
      <c r="LPU1" s="47"/>
      <c r="LPV1" s="47"/>
      <c r="LPW1" s="47"/>
      <c r="LPX1" s="47"/>
      <c r="LPY1" s="47"/>
      <c r="LPZ1" s="47"/>
      <c r="LQA1" s="47"/>
      <c r="LQB1" s="47"/>
      <c r="LQC1" s="47"/>
      <c r="LQD1" s="47"/>
      <c r="LQE1" s="47"/>
      <c r="LQF1" s="47"/>
      <c r="LQG1" s="47"/>
      <c r="LQH1" s="47"/>
      <c r="LQI1" s="47"/>
      <c r="LQJ1" s="47"/>
      <c r="LQK1" s="47"/>
      <c r="LQL1" s="47"/>
      <c r="LQM1" s="47"/>
      <c r="LQN1" s="47"/>
      <c r="LQO1" s="47"/>
      <c r="LQP1" s="47"/>
      <c r="LQQ1" s="47"/>
      <c r="LQR1" s="47"/>
      <c r="LQS1" s="47"/>
      <c r="LQT1" s="47"/>
      <c r="LQU1" s="47"/>
      <c r="LQV1" s="47"/>
      <c r="LQW1" s="47"/>
      <c r="LQX1" s="47"/>
      <c r="LQY1" s="47"/>
      <c r="LQZ1" s="47"/>
      <c r="LRA1" s="47"/>
      <c r="LRB1" s="47"/>
      <c r="LRC1" s="47"/>
      <c r="LRD1" s="47"/>
      <c r="LRE1" s="47"/>
      <c r="LRF1" s="47"/>
      <c r="LRG1" s="47"/>
      <c r="LRH1" s="47"/>
      <c r="LRI1" s="47"/>
      <c r="LRJ1" s="47"/>
      <c r="LRK1" s="47"/>
      <c r="LRL1" s="47"/>
      <c r="LRM1" s="47"/>
      <c r="LRN1" s="47"/>
      <c r="LRO1" s="47"/>
      <c r="LRP1" s="47"/>
      <c r="LRQ1" s="47"/>
      <c r="LRR1" s="47"/>
      <c r="LRS1" s="47"/>
      <c r="LRT1" s="47"/>
      <c r="LRU1" s="47"/>
      <c r="LRV1" s="47"/>
      <c r="LRW1" s="47"/>
      <c r="LRX1" s="47"/>
      <c r="LRY1" s="47"/>
      <c r="LRZ1" s="47"/>
      <c r="LSA1" s="47"/>
      <c r="LSB1" s="47"/>
      <c r="LSC1" s="47"/>
      <c r="LSD1" s="47"/>
      <c r="LSE1" s="47"/>
      <c r="LSF1" s="47"/>
      <c r="LSG1" s="47"/>
      <c r="LSH1" s="47"/>
      <c r="LSI1" s="47"/>
      <c r="LSJ1" s="47"/>
      <c r="LSK1" s="47"/>
      <c r="LSL1" s="47"/>
      <c r="LSM1" s="47"/>
      <c r="LSN1" s="47"/>
      <c r="LSO1" s="47"/>
      <c r="LSP1" s="47"/>
      <c r="LSQ1" s="47"/>
      <c r="LSR1" s="47"/>
      <c r="LSS1" s="47"/>
      <c r="LST1" s="47"/>
      <c r="LSU1" s="47"/>
      <c r="LSV1" s="47"/>
      <c r="LSW1" s="47"/>
      <c r="LSX1" s="47"/>
      <c r="LSY1" s="47"/>
      <c r="LSZ1" s="47"/>
      <c r="LTA1" s="47"/>
      <c r="LTB1" s="47"/>
      <c r="LTC1" s="47"/>
      <c r="LTD1" s="47"/>
      <c r="LTE1" s="47"/>
      <c r="LTF1" s="47"/>
      <c r="LTG1" s="47"/>
      <c r="LTH1" s="47"/>
      <c r="LTI1" s="47"/>
      <c r="LTJ1" s="47"/>
      <c r="LTK1" s="47"/>
      <c r="LTL1" s="47"/>
      <c r="LTM1" s="47"/>
      <c r="LTN1" s="47"/>
      <c r="LTO1" s="47"/>
      <c r="LTP1" s="47"/>
      <c r="LTQ1" s="47"/>
      <c r="LTR1" s="47"/>
      <c r="LTS1" s="47"/>
      <c r="LTT1" s="47"/>
      <c r="LTU1" s="47"/>
      <c r="LTV1" s="47"/>
      <c r="LTW1" s="47"/>
      <c r="LTX1" s="47"/>
      <c r="LTY1" s="47"/>
      <c r="LTZ1" s="47"/>
      <c r="LUA1" s="47"/>
      <c r="LUB1" s="47"/>
      <c r="LUC1" s="47"/>
      <c r="LUD1" s="47"/>
      <c r="LUE1" s="47"/>
      <c r="LUF1" s="47"/>
      <c r="LUG1" s="47"/>
      <c r="LUH1" s="47"/>
      <c r="LUI1" s="47"/>
      <c r="LUJ1" s="47"/>
      <c r="LUK1" s="47"/>
      <c r="LUL1" s="47"/>
      <c r="LUM1" s="47"/>
      <c r="LUN1" s="47"/>
      <c r="LUO1" s="47"/>
      <c r="LUP1" s="47"/>
      <c r="LUQ1" s="47"/>
      <c r="LUR1" s="47"/>
      <c r="LUS1" s="47"/>
      <c r="LUT1" s="47"/>
      <c r="LUU1" s="47"/>
      <c r="LUV1" s="47"/>
      <c r="LUW1" s="47"/>
      <c r="LUX1" s="47"/>
      <c r="LUY1" s="47"/>
      <c r="LUZ1" s="47"/>
      <c r="LVA1" s="47"/>
      <c r="LVB1" s="47"/>
      <c r="LVC1" s="47"/>
      <c r="LVD1" s="47"/>
      <c r="LVE1" s="47"/>
      <c r="LVF1" s="47"/>
      <c r="LVG1" s="47"/>
      <c r="LVH1" s="47"/>
      <c r="LVI1" s="47"/>
      <c r="LVJ1" s="47"/>
      <c r="LVK1" s="47"/>
      <c r="LVL1" s="47"/>
      <c r="LVM1" s="47"/>
      <c r="LVN1" s="47"/>
      <c r="LVO1" s="47"/>
      <c r="LVP1" s="47"/>
      <c r="LVQ1" s="47"/>
      <c r="LVR1" s="47"/>
      <c r="LVS1" s="47"/>
      <c r="LVT1" s="47"/>
      <c r="LVU1" s="47"/>
      <c r="LVV1" s="47"/>
      <c r="LVW1" s="47"/>
      <c r="LVX1" s="47"/>
      <c r="LVY1" s="47"/>
      <c r="LVZ1" s="47"/>
      <c r="LWA1" s="47"/>
      <c r="LWB1" s="47"/>
      <c r="LWC1" s="47"/>
      <c r="LWD1" s="47"/>
      <c r="LWE1" s="47"/>
      <c r="LWF1" s="47"/>
      <c r="LWG1" s="47"/>
      <c r="LWH1" s="47"/>
      <c r="LWI1" s="47"/>
      <c r="LWJ1" s="47"/>
      <c r="LWK1" s="47"/>
      <c r="LWL1" s="47"/>
      <c r="LWM1" s="47"/>
      <c r="LWN1" s="47"/>
      <c r="LWO1" s="47"/>
      <c r="LWP1" s="47"/>
      <c r="LWQ1" s="47"/>
      <c r="LWR1" s="47"/>
      <c r="LWS1" s="47"/>
      <c r="LWT1" s="47"/>
      <c r="LWU1" s="47"/>
      <c r="LWV1" s="47"/>
      <c r="LWW1" s="47"/>
      <c r="LWX1" s="47"/>
      <c r="LWY1" s="47"/>
      <c r="LWZ1" s="47"/>
      <c r="LXA1" s="47"/>
      <c r="LXB1" s="47"/>
      <c r="LXC1" s="47"/>
      <c r="LXD1" s="47"/>
      <c r="LXE1" s="47"/>
      <c r="LXF1" s="47"/>
      <c r="LXG1" s="47"/>
      <c r="LXH1" s="47"/>
      <c r="LXI1" s="47"/>
      <c r="LXJ1" s="47"/>
      <c r="LXK1" s="47"/>
      <c r="LXL1" s="47"/>
      <c r="LXM1" s="47"/>
      <c r="LXN1" s="47"/>
      <c r="LXO1" s="47"/>
      <c r="LXP1" s="47"/>
      <c r="LXQ1" s="47"/>
      <c r="LXR1" s="47"/>
      <c r="LXS1" s="47"/>
      <c r="LXT1" s="47"/>
      <c r="LXU1" s="47"/>
      <c r="LXV1" s="47"/>
      <c r="LXW1" s="47"/>
      <c r="LXX1" s="47"/>
      <c r="LXY1" s="47"/>
      <c r="LXZ1" s="47"/>
      <c r="LYA1" s="47"/>
      <c r="LYB1" s="47"/>
      <c r="LYC1" s="47"/>
      <c r="LYD1" s="47"/>
      <c r="LYE1" s="47"/>
      <c r="LYF1" s="47"/>
      <c r="LYG1" s="47"/>
      <c r="LYH1" s="47"/>
      <c r="LYI1" s="47"/>
      <c r="LYJ1" s="47"/>
      <c r="LYK1" s="47"/>
      <c r="LYL1" s="47"/>
      <c r="LYM1" s="47"/>
      <c r="LYN1" s="47"/>
      <c r="LYO1" s="47"/>
      <c r="LYP1" s="47"/>
      <c r="LYQ1" s="47"/>
      <c r="LYR1" s="47"/>
      <c r="LYS1" s="47"/>
      <c r="LYT1" s="47"/>
      <c r="LYU1" s="47"/>
      <c r="LYV1" s="47"/>
      <c r="LYW1" s="47"/>
      <c r="LYX1" s="47"/>
      <c r="LYY1" s="47"/>
      <c r="LYZ1" s="47"/>
      <c r="LZA1" s="47"/>
      <c r="LZB1" s="47"/>
      <c r="LZC1" s="47"/>
      <c r="LZD1" s="47"/>
      <c r="LZE1" s="47"/>
      <c r="LZF1" s="47"/>
      <c r="LZG1" s="47"/>
      <c r="LZH1" s="47"/>
      <c r="LZI1" s="47"/>
      <c r="LZJ1" s="47"/>
      <c r="LZK1" s="47"/>
      <c r="LZL1" s="47"/>
      <c r="LZM1" s="47"/>
      <c r="LZN1" s="47"/>
      <c r="LZO1" s="47"/>
      <c r="LZP1" s="47"/>
      <c r="LZQ1" s="47"/>
      <c r="LZR1" s="47"/>
      <c r="LZS1" s="47"/>
      <c r="LZT1" s="47"/>
      <c r="LZU1" s="47"/>
      <c r="LZV1" s="47"/>
      <c r="LZW1" s="47"/>
      <c r="LZX1" s="47"/>
      <c r="LZY1" s="47"/>
      <c r="LZZ1" s="47"/>
      <c r="MAA1" s="47"/>
      <c r="MAB1" s="47"/>
      <c r="MAC1" s="47"/>
      <c r="MAD1" s="47"/>
      <c r="MAE1" s="47"/>
      <c r="MAF1" s="47"/>
      <c r="MAG1" s="47"/>
      <c r="MAH1" s="47"/>
      <c r="MAI1" s="47"/>
      <c r="MAJ1" s="47"/>
      <c r="MAK1" s="47"/>
      <c r="MAL1" s="47"/>
      <c r="MAM1" s="47"/>
      <c r="MAN1" s="47"/>
      <c r="MAO1" s="47"/>
      <c r="MAP1" s="47"/>
      <c r="MAQ1" s="47"/>
      <c r="MAR1" s="47"/>
      <c r="MAS1" s="47"/>
      <c r="MAT1" s="47"/>
      <c r="MAU1" s="47"/>
      <c r="MAV1" s="47"/>
      <c r="MAW1" s="47"/>
      <c r="MAX1" s="47"/>
      <c r="MAY1" s="47"/>
      <c r="MAZ1" s="47"/>
      <c r="MBA1" s="47"/>
      <c r="MBB1" s="47"/>
      <c r="MBC1" s="47"/>
      <c r="MBD1" s="47"/>
      <c r="MBE1" s="47"/>
      <c r="MBF1" s="47"/>
      <c r="MBG1" s="47"/>
      <c r="MBH1" s="47"/>
      <c r="MBI1" s="47"/>
      <c r="MBJ1" s="47"/>
      <c r="MBK1" s="47"/>
      <c r="MBL1" s="47"/>
      <c r="MBM1" s="47"/>
      <c r="MBN1" s="47"/>
      <c r="MBO1" s="47"/>
      <c r="MBP1" s="47"/>
      <c r="MBQ1" s="47"/>
      <c r="MBR1" s="47"/>
      <c r="MBS1" s="47"/>
      <c r="MBT1" s="47"/>
      <c r="MBU1" s="47"/>
      <c r="MBV1" s="47"/>
      <c r="MBW1" s="47"/>
      <c r="MBX1" s="47"/>
      <c r="MBY1" s="47"/>
      <c r="MBZ1" s="47"/>
      <c r="MCA1" s="47"/>
      <c r="MCB1" s="47"/>
      <c r="MCC1" s="47"/>
      <c r="MCD1" s="47"/>
      <c r="MCE1" s="47"/>
      <c r="MCF1" s="47"/>
      <c r="MCG1" s="47"/>
      <c r="MCH1" s="47"/>
      <c r="MCI1" s="47"/>
      <c r="MCJ1" s="47"/>
      <c r="MCK1" s="47"/>
      <c r="MCL1" s="47"/>
      <c r="MCM1" s="47"/>
      <c r="MCN1" s="47"/>
      <c r="MCO1" s="47"/>
      <c r="MCP1" s="47"/>
      <c r="MCQ1" s="47"/>
      <c r="MCR1" s="47"/>
      <c r="MCS1" s="47"/>
      <c r="MCT1" s="47"/>
      <c r="MCU1" s="47"/>
      <c r="MCV1" s="47"/>
      <c r="MCW1" s="47"/>
      <c r="MCX1" s="47"/>
      <c r="MCY1" s="47"/>
      <c r="MCZ1" s="47"/>
      <c r="MDA1" s="47"/>
      <c r="MDB1" s="47"/>
      <c r="MDC1" s="47"/>
      <c r="MDD1" s="47"/>
      <c r="MDE1" s="47"/>
      <c r="MDF1" s="47"/>
      <c r="MDG1" s="47"/>
      <c r="MDH1" s="47"/>
      <c r="MDI1" s="47"/>
      <c r="MDJ1" s="47"/>
      <c r="MDK1" s="47"/>
      <c r="MDL1" s="47"/>
      <c r="MDM1" s="47"/>
      <c r="MDN1" s="47"/>
      <c r="MDO1" s="47"/>
      <c r="MDP1" s="47"/>
      <c r="MDQ1" s="47"/>
      <c r="MDR1" s="47"/>
      <c r="MDS1" s="47"/>
      <c r="MDT1" s="47"/>
      <c r="MDU1" s="47"/>
      <c r="MDV1" s="47"/>
      <c r="MDW1" s="47"/>
      <c r="MDX1" s="47"/>
      <c r="MDY1" s="47"/>
      <c r="MDZ1" s="47"/>
      <c r="MEA1" s="47"/>
      <c r="MEB1" s="47"/>
      <c r="MEC1" s="47"/>
      <c r="MED1" s="47"/>
      <c r="MEE1" s="47"/>
      <c r="MEF1" s="47"/>
      <c r="MEG1" s="47"/>
      <c r="MEH1" s="47"/>
      <c r="MEI1" s="47"/>
      <c r="MEJ1" s="47"/>
      <c r="MEK1" s="47"/>
      <c r="MEL1" s="47"/>
      <c r="MEM1" s="47"/>
      <c r="MEN1" s="47"/>
      <c r="MEO1" s="47"/>
      <c r="MEP1" s="47"/>
      <c r="MEQ1" s="47"/>
      <c r="MER1" s="47"/>
      <c r="MES1" s="47"/>
      <c r="MET1" s="47"/>
      <c r="MEU1" s="47"/>
      <c r="MEV1" s="47"/>
      <c r="MEW1" s="47"/>
      <c r="MEX1" s="47"/>
      <c r="MEY1" s="47"/>
      <c r="MEZ1" s="47"/>
      <c r="MFA1" s="47"/>
      <c r="MFB1" s="47"/>
      <c r="MFC1" s="47"/>
      <c r="MFD1" s="47"/>
      <c r="MFE1" s="47"/>
      <c r="MFF1" s="47"/>
      <c r="MFG1" s="47"/>
      <c r="MFH1" s="47"/>
      <c r="MFI1" s="47"/>
      <c r="MFJ1" s="47"/>
      <c r="MFK1" s="47"/>
      <c r="MFL1" s="47"/>
      <c r="MFM1" s="47"/>
      <c r="MFN1" s="47"/>
      <c r="MFO1" s="47"/>
      <c r="MFP1" s="47"/>
      <c r="MFQ1" s="47"/>
      <c r="MFR1" s="47"/>
      <c r="MFS1" s="47"/>
      <c r="MFT1" s="47"/>
      <c r="MFU1" s="47"/>
      <c r="MFV1" s="47"/>
      <c r="MFW1" s="47"/>
      <c r="MFX1" s="47"/>
      <c r="MFY1" s="47"/>
      <c r="MFZ1" s="47"/>
      <c r="MGA1" s="47"/>
      <c r="MGB1" s="47"/>
      <c r="MGC1" s="47"/>
      <c r="MGD1" s="47"/>
      <c r="MGE1" s="47"/>
      <c r="MGF1" s="47"/>
      <c r="MGG1" s="47"/>
      <c r="MGH1" s="47"/>
      <c r="MGI1" s="47"/>
      <c r="MGJ1" s="47"/>
      <c r="MGK1" s="47"/>
      <c r="MGL1" s="47"/>
      <c r="MGM1" s="47"/>
      <c r="MGN1" s="47"/>
      <c r="MGO1" s="47"/>
      <c r="MGP1" s="47"/>
      <c r="MGQ1" s="47"/>
      <c r="MGR1" s="47"/>
      <c r="MGS1" s="47"/>
      <c r="MGT1" s="47"/>
      <c r="MGU1" s="47"/>
      <c r="MGV1" s="47"/>
      <c r="MGW1" s="47"/>
      <c r="MGX1" s="47"/>
      <c r="MGY1" s="47"/>
      <c r="MGZ1" s="47"/>
      <c r="MHA1" s="47"/>
      <c r="MHB1" s="47"/>
      <c r="MHC1" s="47"/>
      <c r="MHD1" s="47"/>
      <c r="MHE1" s="47"/>
      <c r="MHF1" s="47"/>
      <c r="MHG1" s="47"/>
      <c r="MHH1" s="47"/>
      <c r="MHI1" s="47"/>
      <c r="MHJ1" s="47"/>
      <c r="MHK1" s="47"/>
      <c r="MHL1" s="47"/>
      <c r="MHM1" s="47"/>
      <c r="MHN1" s="47"/>
      <c r="MHO1" s="47"/>
      <c r="MHP1" s="47"/>
      <c r="MHQ1" s="47"/>
      <c r="MHR1" s="47"/>
      <c r="MHS1" s="47"/>
      <c r="MHT1" s="47"/>
      <c r="MHU1" s="47"/>
      <c r="MHV1" s="47"/>
      <c r="MHW1" s="47"/>
      <c r="MHX1" s="47"/>
      <c r="MHY1" s="47"/>
      <c r="MHZ1" s="47"/>
      <c r="MIA1" s="47"/>
      <c r="MIB1" s="47"/>
      <c r="MIC1" s="47"/>
      <c r="MID1" s="47"/>
      <c r="MIE1" s="47"/>
      <c r="MIF1" s="47"/>
      <c r="MIG1" s="47"/>
      <c r="MIH1" s="47"/>
      <c r="MII1" s="47"/>
      <c r="MIJ1" s="47"/>
      <c r="MIK1" s="47"/>
      <c r="MIL1" s="47"/>
      <c r="MIM1" s="47"/>
      <c r="MIN1" s="47"/>
      <c r="MIO1" s="47"/>
      <c r="MIP1" s="47"/>
      <c r="MIQ1" s="47"/>
      <c r="MIR1" s="47"/>
      <c r="MIS1" s="47"/>
      <c r="MIT1" s="47"/>
      <c r="MIU1" s="47"/>
      <c r="MIV1" s="47"/>
      <c r="MIW1" s="47"/>
      <c r="MIX1" s="47"/>
      <c r="MIY1" s="47"/>
      <c r="MIZ1" s="47"/>
      <c r="MJA1" s="47"/>
      <c r="MJB1" s="47"/>
      <c r="MJC1" s="47"/>
      <c r="MJD1" s="47"/>
      <c r="MJE1" s="47"/>
      <c r="MJF1" s="47"/>
      <c r="MJG1" s="47"/>
      <c r="MJH1" s="47"/>
      <c r="MJI1" s="47"/>
      <c r="MJJ1" s="47"/>
      <c r="MJK1" s="47"/>
      <c r="MJL1" s="47"/>
      <c r="MJM1" s="47"/>
      <c r="MJN1" s="47"/>
      <c r="MJO1" s="47"/>
      <c r="MJP1" s="47"/>
      <c r="MJQ1" s="47"/>
      <c r="MJR1" s="47"/>
      <c r="MJS1" s="47"/>
      <c r="MJT1" s="47"/>
      <c r="MJU1" s="47"/>
      <c r="MJV1" s="47"/>
      <c r="MJW1" s="47"/>
      <c r="MJX1" s="47"/>
      <c r="MJY1" s="47"/>
      <c r="MJZ1" s="47"/>
      <c r="MKA1" s="47"/>
      <c r="MKB1" s="47"/>
      <c r="MKC1" s="47"/>
      <c r="MKD1" s="47"/>
      <c r="MKE1" s="47"/>
      <c r="MKF1" s="47"/>
      <c r="MKG1" s="47"/>
      <c r="MKH1" s="47"/>
      <c r="MKI1" s="47"/>
      <c r="MKJ1" s="47"/>
      <c r="MKK1" s="47"/>
      <c r="MKL1" s="47"/>
      <c r="MKM1" s="47"/>
      <c r="MKN1" s="47"/>
      <c r="MKO1" s="47"/>
      <c r="MKP1" s="47"/>
      <c r="MKQ1" s="47"/>
      <c r="MKR1" s="47"/>
      <c r="MKS1" s="47"/>
      <c r="MKT1" s="47"/>
      <c r="MKU1" s="47"/>
      <c r="MKV1" s="47"/>
      <c r="MKW1" s="47"/>
      <c r="MKX1" s="47"/>
      <c r="MKY1" s="47"/>
      <c r="MKZ1" s="47"/>
      <c r="MLA1" s="47"/>
      <c r="MLB1" s="47"/>
      <c r="MLC1" s="47"/>
      <c r="MLD1" s="47"/>
      <c r="MLE1" s="47"/>
      <c r="MLF1" s="47"/>
      <c r="MLG1" s="47"/>
      <c r="MLH1" s="47"/>
      <c r="MLI1" s="47"/>
      <c r="MLJ1" s="47"/>
      <c r="MLK1" s="47"/>
      <c r="MLL1" s="47"/>
      <c r="MLM1" s="47"/>
      <c r="MLN1" s="47"/>
      <c r="MLO1" s="47"/>
      <c r="MLP1" s="47"/>
      <c r="MLQ1" s="47"/>
      <c r="MLR1" s="47"/>
      <c r="MLS1" s="47"/>
      <c r="MLT1" s="47"/>
      <c r="MLU1" s="47"/>
      <c r="MLV1" s="47"/>
      <c r="MLW1" s="47"/>
      <c r="MLX1" s="47"/>
      <c r="MLY1" s="47"/>
      <c r="MLZ1" s="47"/>
      <c r="MMA1" s="47"/>
      <c r="MMB1" s="47"/>
      <c r="MMC1" s="47"/>
      <c r="MMD1" s="47"/>
      <c r="MME1" s="47"/>
      <c r="MMF1" s="47"/>
      <c r="MMG1" s="47"/>
      <c r="MMH1" s="47"/>
      <c r="MMI1" s="47"/>
      <c r="MMJ1" s="47"/>
      <c r="MMK1" s="47"/>
      <c r="MML1" s="47"/>
      <c r="MMM1" s="47"/>
      <c r="MMN1" s="47"/>
      <c r="MMO1" s="47"/>
      <c r="MMP1" s="47"/>
      <c r="MMQ1" s="47"/>
      <c r="MMR1" s="47"/>
      <c r="MMS1" s="47"/>
      <c r="MMT1" s="47"/>
      <c r="MMU1" s="47"/>
      <c r="MMV1" s="47"/>
      <c r="MMW1" s="47"/>
      <c r="MMX1" s="47"/>
      <c r="MMY1" s="47"/>
      <c r="MMZ1" s="47"/>
      <c r="MNA1" s="47"/>
      <c r="MNB1" s="47"/>
      <c r="MNC1" s="47"/>
      <c r="MND1" s="47"/>
      <c r="MNE1" s="47"/>
      <c r="MNF1" s="47"/>
      <c r="MNG1" s="47"/>
      <c r="MNH1" s="47"/>
      <c r="MNI1" s="47"/>
      <c r="MNJ1" s="47"/>
      <c r="MNK1" s="47"/>
      <c r="MNL1" s="47"/>
      <c r="MNM1" s="47"/>
      <c r="MNN1" s="47"/>
      <c r="MNO1" s="47"/>
      <c r="MNP1" s="47"/>
      <c r="MNQ1" s="47"/>
      <c r="MNR1" s="47"/>
      <c r="MNS1" s="47"/>
      <c r="MNT1" s="47"/>
      <c r="MNU1" s="47"/>
      <c r="MNV1" s="47"/>
      <c r="MNW1" s="47"/>
      <c r="MNX1" s="47"/>
      <c r="MNY1" s="47"/>
      <c r="MNZ1" s="47"/>
      <c r="MOA1" s="47"/>
      <c r="MOB1" s="47"/>
      <c r="MOC1" s="47"/>
      <c r="MOD1" s="47"/>
      <c r="MOE1" s="47"/>
      <c r="MOF1" s="47"/>
      <c r="MOG1" s="47"/>
      <c r="MOH1" s="47"/>
      <c r="MOI1" s="47"/>
      <c r="MOJ1" s="47"/>
      <c r="MOK1" s="47"/>
      <c r="MOL1" s="47"/>
      <c r="MOM1" s="47"/>
      <c r="MON1" s="47"/>
      <c r="MOO1" s="47"/>
      <c r="MOP1" s="47"/>
      <c r="MOQ1" s="47"/>
      <c r="MOR1" s="47"/>
      <c r="MOS1" s="47"/>
      <c r="MOT1" s="47"/>
      <c r="MOU1" s="47"/>
      <c r="MOV1" s="47"/>
      <c r="MOW1" s="47"/>
      <c r="MOX1" s="47"/>
      <c r="MOY1" s="47"/>
      <c r="MOZ1" s="47"/>
      <c r="MPA1" s="47"/>
      <c r="MPB1" s="47"/>
      <c r="MPC1" s="47"/>
      <c r="MPD1" s="47"/>
      <c r="MPE1" s="47"/>
      <c r="MPF1" s="47"/>
      <c r="MPG1" s="47"/>
      <c r="MPH1" s="47"/>
      <c r="MPI1" s="47"/>
      <c r="MPJ1" s="47"/>
      <c r="MPK1" s="47"/>
      <c r="MPL1" s="47"/>
      <c r="MPM1" s="47"/>
      <c r="MPN1" s="47"/>
      <c r="MPO1" s="47"/>
      <c r="MPP1" s="47"/>
      <c r="MPQ1" s="47"/>
      <c r="MPR1" s="47"/>
      <c r="MPS1" s="47"/>
      <c r="MPT1" s="47"/>
      <c r="MPU1" s="47"/>
      <c r="MPV1" s="47"/>
      <c r="MPW1" s="47"/>
      <c r="MPX1" s="47"/>
      <c r="MPY1" s="47"/>
      <c r="MPZ1" s="47"/>
      <c r="MQA1" s="47"/>
      <c r="MQB1" s="47"/>
      <c r="MQC1" s="47"/>
      <c r="MQD1" s="47"/>
      <c r="MQE1" s="47"/>
      <c r="MQF1" s="47"/>
      <c r="MQG1" s="47"/>
      <c r="MQH1" s="47"/>
      <c r="MQI1" s="47"/>
      <c r="MQJ1" s="47"/>
      <c r="MQK1" s="47"/>
      <c r="MQL1" s="47"/>
      <c r="MQM1" s="47"/>
      <c r="MQN1" s="47"/>
      <c r="MQO1" s="47"/>
      <c r="MQP1" s="47"/>
      <c r="MQQ1" s="47"/>
      <c r="MQR1" s="47"/>
      <c r="MQS1" s="47"/>
      <c r="MQT1" s="47"/>
      <c r="MQU1" s="47"/>
      <c r="MQV1" s="47"/>
      <c r="MQW1" s="47"/>
      <c r="MQX1" s="47"/>
      <c r="MQY1" s="47"/>
      <c r="MQZ1" s="47"/>
      <c r="MRA1" s="47"/>
      <c r="MRB1" s="47"/>
      <c r="MRC1" s="47"/>
      <c r="MRD1" s="47"/>
      <c r="MRE1" s="47"/>
      <c r="MRF1" s="47"/>
      <c r="MRG1" s="47"/>
      <c r="MRH1" s="47"/>
      <c r="MRI1" s="47"/>
      <c r="MRJ1" s="47"/>
      <c r="MRK1" s="47"/>
      <c r="MRL1" s="47"/>
      <c r="MRM1" s="47"/>
      <c r="MRN1" s="47"/>
      <c r="MRO1" s="47"/>
      <c r="MRP1" s="47"/>
      <c r="MRQ1" s="47"/>
      <c r="MRR1" s="47"/>
      <c r="MRS1" s="47"/>
      <c r="MRT1" s="47"/>
      <c r="MRU1" s="47"/>
      <c r="MRV1" s="47"/>
      <c r="MRW1" s="47"/>
      <c r="MRX1" s="47"/>
      <c r="MRY1" s="47"/>
      <c r="MRZ1" s="47"/>
      <c r="MSA1" s="47"/>
      <c r="MSB1" s="47"/>
      <c r="MSC1" s="47"/>
      <c r="MSD1" s="47"/>
      <c r="MSE1" s="47"/>
      <c r="MSF1" s="47"/>
      <c r="MSG1" s="47"/>
      <c r="MSH1" s="47"/>
      <c r="MSI1" s="47"/>
      <c r="MSJ1" s="47"/>
      <c r="MSK1" s="47"/>
      <c r="MSL1" s="47"/>
      <c r="MSM1" s="47"/>
      <c r="MSN1" s="47"/>
      <c r="MSO1" s="47"/>
      <c r="MSP1" s="47"/>
      <c r="MSQ1" s="47"/>
      <c r="MSR1" s="47"/>
      <c r="MSS1" s="47"/>
      <c r="MST1" s="47"/>
      <c r="MSU1" s="47"/>
      <c r="MSV1" s="47"/>
      <c r="MSW1" s="47"/>
      <c r="MSX1" s="47"/>
      <c r="MSY1" s="47"/>
      <c r="MSZ1" s="47"/>
      <c r="MTA1" s="47"/>
      <c r="MTB1" s="47"/>
      <c r="MTC1" s="47"/>
      <c r="MTD1" s="47"/>
      <c r="MTE1" s="47"/>
      <c r="MTF1" s="47"/>
      <c r="MTG1" s="47"/>
      <c r="MTH1" s="47"/>
      <c r="MTI1" s="47"/>
      <c r="MTJ1" s="47"/>
      <c r="MTK1" s="47"/>
      <c r="MTL1" s="47"/>
      <c r="MTM1" s="47"/>
      <c r="MTN1" s="47"/>
      <c r="MTO1" s="47"/>
      <c r="MTP1" s="47"/>
      <c r="MTQ1" s="47"/>
      <c r="MTR1" s="47"/>
      <c r="MTS1" s="47"/>
      <c r="MTT1" s="47"/>
      <c r="MTU1" s="47"/>
      <c r="MTV1" s="47"/>
      <c r="MTW1" s="47"/>
      <c r="MTX1" s="47"/>
      <c r="MTY1" s="47"/>
      <c r="MTZ1" s="47"/>
      <c r="MUA1" s="47"/>
      <c r="MUB1" s="47"/>
      <c r="MUC1" s="47"/>
      <c r="MUD1" s="47"/>
      <c r="MUE1" s="47"/>
      <c r="MUF1" s="47"/>
      <c r="MUG1" s="47"/>
      <c r="MUH1" s="47"/>
      <c r="MUI1" s="47"/>
      <c r="MUJ1" s="47"/>
      <c r="MUK1" s="47"/>
      <c r="MUL1" s="47"/>
      <c r="MUM1" s="47"/>
      <c r="MUN1" s="47"/>
      <c r="MUO1" s="47"/>
      <c r="MUP1" s="47"/>
      <c r="MUQ1" s="47"/>
      <c r="MUR1" s="47"/>
      <c r="MUS1" s="47"/>
      <c r="MUT1" s="47"/>
      <c r="MUU1" s="47"/>
      <c r="MUV1" s="47"/>
      <c r="MUW1" s="47"/>
      <c r="MUX1" s="47"/>
      <c r="MUY1" s="47"/>
      <c r="MUZ1" s="47"/>
      <c r="MVA1" s="47"/>
      <c r="MVB1" s="47"/>
      <c r="MVC1" s="47"/>
      <c r="MVD1" s="47"/>
      <c r="MVE1" s="47"/>
      <c r="MVF1" s="47"/>
      <c r="MVG1" s="47"/>
      <c r="MVH1" s="47"/>
      <c r="MVI1" s="47"/>
      <c r="MVJ1" s="47"/>
      <c r="MVK1" s="47"/>
      <c r="MVL1" s="47"/>
      <c r="MVM1" s="47"/>
      <c r="MVN1" s="47"/>
      <c r="MVO1" s="47"/>
      <c r="MVP1" s="47"/>
      <c r="MVQ1" s="47"/>
      <c r="MVR1" s="47"/>
      <c r="MVS1" s="47"/>
      <c r="MVT1" s="47"/>
      <c r="MVU1" s="47"/>
      <c r="MVV1" s="47"/>
      <c r="MVW1" s="47"/>
      <c r="MVX1" s="47"/>
      <c r="MVY1" s="47"/>
      <c r="MVZ1" s="47"/>
      <c r="MWA1" s="47"/>
      <c r="MWB1" s="47"/>
      <c r="MWC1" s="47"/>
      <c r="MWD1" s="47"/>
      <c r="MWE1" s="47"/>
      <c r="MWF1" s="47"/>
      <c r="MWG1" s="47"/>
      <c r="MWH1" s="47"/>
      <c r="MWI1" s="47"/>
      <c r="MWJ1" s="47"/>
      <c r="MWK1" s="47"/>
      <c r="MWL1" s="47"/>
      <c r="MWM1" s="47"/>
      <c r="MWN1" s="47"/>
      <c r="MWO1" s="47"/>
      <c r="MWP1" s="47"/>
      <c r="MWQ1" s="47"/>
      <c r="MWR1" s="47"/>
      <c r="MWS1" s="47"/>
      <c r="MWT1" s="47"/>
      <c r="MWU1" s="47"/>
      <c r="MWV1" s="47"/>
      <c r="MWW1" s="47"/>
      <c r="MWX1" s="47"/>
      <c r="MWY1" s="47"/>
      <c r="MWZ1" s="47"/>
      <c r="MXA1" s="47"/>
      <c r="MXB1" s="47"/>
      <c r="MXC1" s="47"/>
      <c r="MXD1" s="47"/>
      <c r="MXE1" s="47"/>
      <c r="MXF1" s="47"/>
      <c r="MXG1" s="47"/>
      <c r="MXH1" s="47"/>
      <c r="MXI1" s="47"/>
      <c r="MXJ1" s="47"/>
      <c r="MXK1" s="47"/>
      <c r="MXL1" s="47"/>
      <c r="MXM1" s="47"/>
      <c r="MXN1" s="47"/>
      <c r="MXO1" s="47"/>
      <c r="MXP1" s="47"/>
      <c r="MXQ1" s="47"/>
      <c r="MXR1" s="47"/>
      <c r="MXS1" s="47"/>
      <c r="MXT1" s="47"/>
      <c r="MXU1" s="47"/>
      <c r="MXV1" s="47"/>
      <c r="MXW1" s="47"/>
      <c r="MXX1" s="47"/>
      <c r="MXY1" s="47"/>
      <c r="MXZ1" s="47"/>
      <c r="MYA1" s="47"/>
      <c r="MYB1" s="47"/>
      <c r="MYC1" s="47"/>
      <c r="MYD1" s="47"/>
      <c r="MYE1" s="47"/>
      <c r="MYF1" s="47"/>
      <c r="MYG1" s="47"/>
      <c r="MYH1" s="47"/>
      <c r="MYI1" s="47"/>
      <c r="MYJ1" s="47"/>
      <c r="MYK1" s="47"/>
      <c r="MYL1" s="47"/>
      <c r="MYM1" s="47"/>
      <c r="MYN1" s="47"/>
      <c r="MYO1" s="47"/>
      <c r="MYP1" s="47"/>
      <c r="MYQ1" s="47"/>
      <c r="MYR1" s="47"/>
      <c r="MYS1" s="47"/>
      <c r="MYT1" s="47"/>
      <c r="MYU1" s="47"/>
      <c r="MYV1" s="47"/>
      <c r="MYW1" s="47"/>
      <c r="MYX1" s="47"/>
      <c r="MYY1" s="47"/>
      <c r="MYZ1" s="47"/>
      <c r="MZA1" s="47"/>
      <c r="MZB1" s="47"/>
      <c r="MZC1" s="47"/>
      <c r="MZD1" s="47"/>
      <c r="MZE1" s="47"/>
      <c r="MZF1" s="47"/>
      <c r="MZG1" s="47"/>
      <c r="MZH1" s="47"/>
      <c r="MZI1" s="47"/>
      <c r="MZJ1" s="47"/>
      <c r="MZK1" s="47"/>
      <c r="MZL1" s="47"/>
      <c r="MZM1" s="47"/>
      <c r="MZN1" s="47"/>
      <c r="MZO1" s="47"/>
      <c r="MZP1" s="47"/>
      <c r="MZQ1" s="47"/>
      <c r="MZR1" s="47"/>
      <c r="MZS1" s="47"/>
      <c r="MZT1" s="47"/>
      <c r="MZU1" s="47"/>
      <c r="MZV1" s="47"/>
      <c r="MZW1" s="47"/>
      <c r="MZX1" s="47"/>
      <c r="MZY1" s="47"/>
      <c r="MZZ1" s="47"/>
      <c r="NAA1" s="47"/>
      <c r="NAB1" s="47"/>
      <c r="NAC1" s="47"/>
      <c r="NAD1" s="47"/>
      <c r="NAE1" s="47"/>
      <c r="NAF1" s="47"/>
      <c r="NAG1" s="47"/>
      <c r="NAH1" s="47"/>
      <c r="NAI1" s="47"/>
      <c r="NAJ1" s="47"/>
      <c r="NAK1" s="47"/>
      <c r="NAL1" s="47"/>
      <c r="NAM1" s="47"/>
      <c r="NAN1" s="47"/>
      <c r="NAO1" s="47"/>
      <c r="NAP1" s="47"/>
      <c r="NAQ1" s="47"/>
      <c r="NAR1" s="47"/>
      <c r="NAS1" s="47"/>
      <c r="NAT1" s="47"/>
      <c r="NAU1" s="47"/>
      <c r="NAV1" s="47"/>
      <c r="NAW1" s="47"/>
      <c r="NAX1" s="47"/>
      <c r="NAY1" s="47"/>
      <c r="NAZ1" s="47"/>
      <c r="NBA1" s="47"/>
      <c r="NBB1" s="47"/>
      <c r="NBC1" s="47"/>
      <c r="NBD1" s="47"/>
      <c r="NBE1" s="47"/>
      <c r="NBF1" s="47"/>
      <c r="NBG1" s="47"/>
      <c r="NBH1" s="47"/>
      <c r="NBI1" s="47"/>
      <c r="NBJ1" s="47"/>
      <c r="NBK1" s="47"/>
      <c r="NBL1" s="47"/>
      <c r="NBM1" s="47"/>
      <c r="NBN1" s="47"/>
      <c r="NBO1" s="47"/>
      <c r="NBP1" s="47"/>
      <c r="NBQ1" s="47"/>
      <c r="NBR1" s="47"/>
      <c r="NBS1" s="47"/>
      <c r="NBT1" s="47"/>
      <c r="NBU1" s="47"/>
      <c r="NBV1" s="47"/>
      <c r="NBW1" s="47"/>
      <c r="NBX1" s="47"/>
      <c r="NBY1" s="47"/>
      <c r="NBZ1" s="47"/>
      <c r="NCA1" s="47"/>
      <c r="NCB1" s="47"/>
      <c r="NCC1" s="47"/>
      <c r="NCD1" s="47"/>
      <c r="NCE1" s="47"/>
      <c r="NCF1" s="47"/>
      <c r="NCG1" s="47"/>
      <c r="NCH1" s="47"/>
      <c r="NCI1" s="47"/>
      <c r="NCJ1" s="47"/>
      <c r="NCK1" s="47"/>
      <c r="NCL1" s="47"/>
      <c r="NCM1" s="47"/>
      <c r="NCN1" s="47"/>
      <c r="NCO1" s="47"/>
      <c r="NCP1" s="47"/>
      <c r="NCQ1" s="47"/>
      <c r="NCR1" s="47"/>
      <c r="NCS1" s="47"/>
      <c r="NCT1" s="47"/>
      <c r="NCU1" s="47"/>
      <c r="NCV1" s="47"/>
      <c r="NCW1" s="47"/>
      <c r="NCX1" s="47"/>
      <c r="NCY1" s="47"/>
      <c r="NCZ1" s="47"/>
      <c r="NDA1" s="47"/>
      <c r="NDB1" s="47"/>
      <c r="NDC1" s="47"/>
      <c r="NDD1" s="47"/>
      <c r="NDE1" s="47"/>
      <c r="NDF1" s="47"/>
      <c r="NDG1" s="47"/>
      <c r="NDH1" s="47"/>
      <c r="NDI1" s="47"/>
      <c r="NDJ1" s="47"/>
      <c r="NDK1" s="47"/>
      <c r="NDL1" s="47"/>
      <c r="NDM1" s="47"/>
      <c r="NDN1" s="47"/>
      <c r="NDO1" s="47"/>
      <c r="NDP1" s="47"/>
      <c r="NDQ1" s="47"/>
      <c r="NDR1" s="47"/>
      <c r="NDS1" s="47"/>
      <c r="NDT1" s="47"/>
      <c r="NDU1" s="47"/>
      <c r="NDV1" s="47"/>
      <c r="NDW1" s="47"/>
      <c r="NDX1" s="47"/>
      <c r="NDY1" s="47"/>
      <c r="NDZ1" s="47"/>
      <c r="NEA1" s="47"/>
      <c r="NEB1" s="47"/>
      <c r="NEC1" s="47"/>
      <c r="NED1" s="47"/>
      <c r="NEE1" s="47"/>
      <c r="NEF1" s="47"/>
      <c r="NEG1" s="47"/>
      <c r="NEH1" s="47"/>
      <c r="NEI1" s="47"/>
      <c r="NEJ1" s="47"/>
      <c r="NEK1" s="47"/>
      <c r="NEL1" s="47"/>
      <c r="NEM1" s="47"/>
      <c r="NEN1" s="47"/>
      <c r="NEO1" s="47"/>
      <c r="NEP1" s="47"/>
      <c r="NEQ1" s="47"/>
      <c r="NER1" s="47"/>
      <c r="NES1" s="47"/>
      <c r="NET1" s="47"/>
      <c r="NEU1" s="47"/>
      <c r="NEV1" s="47"/>
      <c r="NEW1" s="47"/>
      <c r="NEX1" s="47"/>
      <c r="NEY1" s="47"/>
      <c r="NEZ1" s="47"/>
      <c r="NFA1" s="47"/>
      <c r="NFB1" s="47"/>
      <c r="NFC1" s="47"/>
      <c r="NFD1" s="47"/>
      <c r="NFE1" s="47"/>
      <c r="NFF1" s="47"/>
      <c r="NFG1" s="47"/>
      <c r="NFH1" s="47"/>
      <c r="NFI1" s="47"/>
      <c r="NFJ1" s="47"/>
      <c r="NFK1" s="47"/>
      <c r="NFL1" s="47"/>
      <c r="NFM1" s="47"/>
      <c r="NFN1" s="47"/>
      <c r="NFO1" s="47"/>
      <c r="NFP1" s="47"/>
      <c r="NFQ1" s="47"/>
      <c r="NFR1" s="47"/>
      <c r="NFS1" s="47"/>
      <c r="NFT1" s="47"/>
      <c r="NFU1" s="47"/>
      <c r="NFV1" s="47"/>
      <c r="NFW1" s="47"/>
      <c r="NFX1" s="47"/>
      <c r="NFY1" s="47"/>
      <c r="NFZ1" s="47"/>
      <c r="NGA1" s="47"/>
      <c r="NGB1" s="47"/>
      <c r="NGC1" s="47"/>
      <c r="NGD1" s="47"/>
      <c r="NGE1" s="47"/>
      <c r="NGF1" s="47"/>
      <c r="NGG1" s="47"/>
      <c r="NGH1" s="47"/>
      <c r="NGI1" s="47"/>
      <c r="NGJ1" s="47"/>
      <c r="NGK1" s="47"/>
      <c r="NGL1" s="47"/>
      <c r="NGM1" s="47"/>
      <c r="NGN1" s="47"/>
      <c r="NGO1" s="47"/>
      <c r="NGP1" s="47"/>
      <c r="NGQ1" s="47"/>
      <c r="NGR1" s="47"/>
      <c r="NGS1" s="47"/>
      <c r="NGT1" s="47"/>
      <c r="NGU1" s="47"/>
      <c r="NGV1" s="47"/>
      <c r="NGW1" s="47"/>
      <c r="NGX1" s="47"/>
      <c r="NGY1" s="47"/>
      <c r="NGZ1" s="47"/>
      <c r="NHA1" s="47"/>
      <c r="NHB1" s="47"/>
      <c r="NHC1" s="47"/>
      <c r="NHD1" s="47"/>
      <c r="NHE1" s="47"/>
      <c r="NHF1" s="47"/>
      <c r="NHG1" s="47"/>
      <c r="NHH1" s="47"/>
      <c r="NHI1" s="47"/>
      <c r="NHJ1" s="47"/>
      <c r="NHK1" s="47"/>
      <c r="NHL1" s="47"/>
      <c r="NHM1" s="47"/>
      <c r="NHN1" s="47"/>
      <c r="NHO1" s="47"/>
      <c r="NHP1" s="47"/>
      <c r="NHQ1" s="47"/>
      <c r="NHR1" s="47"/>
      <c r="NHS1" s="47"/>
      <c r="NHT1" s="47"/>
      <c r="NHU1" s="47"/>
      <c r="NHV1" s="47"/>
      <c r="NHW1" s="47"/>
      <c r="NHX1" s="47"/>
      <c r="NHY1" s="47"/>
      <c r="NHZ1" s="47"/>
      <c r="NIA1" s="47"/>
      <c r="NIB1" s="47"/>
      <c r="NIC1" s="47"/>
      <c r="NID1" s="47"/>
      <c r="NIE1" s="47"/>
      <c r="NIF1" s="47"/>
      <c r="NIG1" s="47"/>
      <c r="NIH1" s="47"/>
      <c r="NII1" s="47"/>
      <c r="NIJ1" s="47"/>
      <c r="NIK1" s="47"/>
      <c r="NIL1" s="47"/>
      <c r="NIM1" s="47"/>
      <c r="NIN1" s="47"/>
      <c r="NIO1" s="47"/>
      <c r="NIP1" s="47"/>
      <c r="NIQ1" s="47"/>
      <c r="NIR1" s="47"/>
      <c r="NIS1" s="47"/>
      <c r="NIT1" s="47"/>
      <c r="NIU1" s="47"/>
      <c r="NIV1" s="47"/>
      <c r="NIW1" s="47"/>
      <c r="NIX1" s="47"/>
      <c r="NIY1" s="47"/>
      <c r="NIZ1" s="47"/>
      <c r="NJA1" s="47"/>
      <c r="NJB1" s="47"/>
      <c r="NJC1" s="47"/>
      <c r="NJD1" s="47"/>
      <c r="NJE1" s="47"/>
      <c r="NJF1" s="47"/>
      <c r="NJG1" s="47"/>
      <c r="NJH1" s="47"/>
      <c r="NJI1" s="47"/>
      <c r="NJJ1" s="47"/>
      <c r="NJK1" s="47"/>
      <c r="NJL1" s="47"/>
      <c r="NJM1" s="47"/>
      <c r="NJN1" s="47"/>
      <c r="NJO1" s="47"/>
      <c r="NJP1" s="47"/>
      <c r="NJQ1" s="47"/>
      <c r="NJR1" s="47"/>
      <c r="NJS1" s="47"/>
      <c r="NJT1" s="47"/>
      <c r="NJU1" s="47"/>
      <c r="NJV1" s="47"/>
      <c r="NJW1" s="47"/>
      <c r="NJX1" s="47"/>
      <c r="NJY1" s="47"/>
      <c r="NJZ1" s="47"/>
      <c r="NKA1" s="47"/>
      <c r="NKB1" s="47"/>
      <c r="NKC1" s="47"/>
      <c r="NKD1" s="47"/>
      <c r="NKE1" s="47"/>
      <c r="NKF1" s="47"/>
      <c r="NKG1" s="47"/>
      <c r="NKH1" s="47"/>
      <c r="NKI1" s="47"/>
      <c r="NKJ1" s="47"/>
      <c r="NKK1" s="47"/>
      <c r="NKL1" s="47"/>
      <c r="NKM1" s="47"/>
      <c r="NKN1" s="47"/>
      <c r="NKO1" s="47"/>
      <c r="NKP1" s="47"/>
      <c r="NKQ1" s="47"/>
      <c r="NKR1" s="47"/>
      <c r="NKS1" s="47"/>
      <c r="NKT1" s="47"/>
      <c r="NKU1" s="47"/>
      <c r="NKV1" s="47"/>
      <c r="NKW1" s="47"/>
      <c r="NKX1" s="47"/>
      <c r="NKY1" s="47"/>
      <c r="NKZ1" s="47"/>
      <c r="NLA1" s="47"/>
      <c r="NLB1" s="47"/>
      <c r="NLC1" s="47"/>
      <c r="NLD1" s="47"/>
      <c r="NLE1" s="47"/>
      <c r="NLF1" s="47"/>
      <c r="NLG1" s="47"/>
      <c r="NLH1" s="47"/>
      <c r="NLI1" s="47"/>
      <c r="NLJ1" s="47"/>
      <c r="NLK1" s="47"/>
      <c r="NLL1" s="47"/>
      <c r="NLM1" s="47"/>
      <c r="NLN1" s="47"/>
      <c r="NLO1" s="47"/>
      <c r="NLP1" s="47"/>
      <c r="NLQ1" s="47"/>
      <c r="NLR1" s="47"/>
      <c r="NLS1" s="47"/>
      <c r="NLT1" s="47"/>
      <c r="NLU1" s="47"/>
      <c r="NLV1" s="47"/>
      <c r="NLW1" s="47"/>
      <c r="NLX1" s="47"/>
      <c r="NLY1" s="47"/>
      <c r="NLZ1" s="47"/>
      <c r="NMA1" s="47"/>
      <c r="NMB1" s="47"/>
      <c r="NMC1" s="47"/>
      <c r="NMD1" s="47"/>
      <c r="NME1" s="47"/>
      <c r="NMF1" s="47"/>
      <c r="NMG1" s="47"/>
      <c r="NMH1" s="47"/>
      <c r="NMI1" s="47"/>
      <c r="NMJ1" s="47"/>
      <c r="NMK1" s="47"/>
      <c r="NML1" s="47"/>
      <c r="NMM1" s="47"/>
      <c r="NMN1" s="47"/>
      <c r="NMO1" s="47"/>
      <c r="NMP1" s="47"/>
      <c r="NMQ1" s="47"/>
      <c r="NMR1" s="47"/>
      <c r="NMS1" s="47"/>
      <c r="NMT1" s="47"/>
      <c r="NMU1" s="47"/>
      <c r="NMV1" s="47"/>
      <c r="NMW1" s="47"/>
      <c r="NMX1" s="47"/>
      <c r="NMY1" s="47"/>
      <c r="NMZ1" s="47"/>
      <c r="NNA1" s="47"/>
      <c r="NNB1" s="47"/>
      <c r="NNC1" s="47"/>
      <c r="NND1" s="47"/>
      <c r="NNE1" s="47"/>
      <c r="NNF1" s="47"/>
      <c r="NNG1" s="47"/>
      <c r="NNH1" s="47"/>
      <c r="NNI1" s="47"/>
      <c r="NNJ1" s="47"/>
      <c r="NNK1" s="47"/>
      <c r="NNL1" s="47"/>
      <c r="NNM1" s="47"/>
      <c r="NNN1" s="47"/>
      <c r="NNO1" s="47"/>
      <c r="NNP1" s="47"/>
      <c r="NNQ1" s="47"/>
      <c r="NNR1" s="47"/>
      <c r="NNS1" s="47"/>
      <c r="NNT1" s="47"/>
      <c r="NNU1" s="47"/>
      <c r="NNV1" s="47"/>
      <c r="NNW1" s="47"/>
      <c r="NNX1" s="47"/>
      <c r="NNY1" s="47"/>
      <c r="NNZ1" s="47"/>
      <c r="NOA1" s="47"/>
      <c r="NOB1" s="47"/>
      <c r="NOC1" s="47"/>
      <c r="NOD1" s="47"/>
      <c r="NOE1" s="47"/>
      <c r="NOF1" s="47"/>
      <c r="NOG1" s="47"/>
      <c r="NOH1" s="47"/>
      <c r="NOI1" s="47"/>
      <c r="NOJ1" s="47"/>
      <c r="NOK1" s="47"/>
      <c r="NOL1" s="47"/>
      <c r="NOM1" s="47"/>
      <c r="NON1" s="47"/>
      <c r="NOO1" s="47"/>
      <c r="NOP1" s="47"/>
      <c r="NOQ1" s="47"/>
      <c r="NOR1" s="47"/>
      <c r="NOS1" s="47"/>
      <c r="NOT1" s="47"/>
      <c r="NOU1" s="47"/>
      <c r="NOV1" s="47"/>
      <c r="NOW1" s="47"/>
      <c r="NOX1" s="47"/>
      <c r="NOY1" s="47"/>
      <c r="NOZ1" s="47"/>
      <c r="NPA1" s="47"/>
      <c r="NPB1" s="47"/>
      <c r="NPC1" s="47"/>
      <c r="NPD1" s="47"/>
      <c r="NPE1" s="47"/>
      <c r="NPF1" s="47"/>
      <c r="NPG1" s="47"/>
      <c r="NPH1" s="47"/>
      <c r="NPI1" s="47"/>
      <c r="NPJ1" s="47"/>
      <c r="NPK1" s="47"/>
      <c r="NPL1" s="47"/>
      <c r="NPM1" s="47"/>
      <c r="NPN1" s="47"/>
      <c r="NPO1" s="47"/>
      <c r="NPP1" s="47"/>
      <c r="NPQ1" s="47"/>
      <c r="NPR1" s="47"/>
      <c r="NPS1" s="47"/>
      <c r="NPT1" s="47"/>
      <c r="NPU1" s="47"/>
      <c r="NPV1" s="47"/>
      <c r="NPW1" s="47"/>
      <c r="NPX1" s="47"/>
      <c r="NPY1" s="47"/>
      <c r="NPZ1" s="47"/>
      <c r="NQA1" s="47"/>
      <c r="NQB1" s="47"/>
      <c r="NQC1" s="47"/>
      <c r="NQD1" s="47"/>
      <c r="NQE1" s="47"/>
      <c r="NQF1" s="47"/>
      <c r="NQG1" s="47"/>
      <c r="NQH1" s="47"/>
      <c r="NQI1" s="47"/>
      <c r="NQJ1" s="47"/>
      <c r="NQK1" s="47"/>
      <c r="NQL1" s="47"/>
      <c r="NQM1" s="47"/>
      <c r="NQN1" s="47"/>
      <c r="NQO1" s="47"/>
      <c r="NQP1" s="47"/>
      <c r="NQQ1" s="47"/>
      <c r="NQR1" s="47"/>
      <c r="NQS1" s="47"/>
      <c r="NQT1" s="47"/>
      <c r="NQU1" s="47"/>
      <c r="NQV1" s="47"/>
      <c r="NQW1" s="47"/>
      <c r="NQX1" s="47"/>
      <c r="NQY1" s="47"/>
      <c r="NQZ1" s="47"/>
      <c r="NRA1" s="47"/>
      <c r="NRB1" s="47"/>
      <c r="NRC1" s="47"/>
      <c r="NRD1" s="47"/>
      <c r="NRE1" s="47"/>
      <c r="NRF1" s="47"/>
      <c r="NRG1" s="47"/>
      <c r="NRH1" s="47"/>
      <c r="NRI1" s="47"/>
      <c r="NRJ1" s="47"/>
      <c r="NRK1" s="47"/>
      <c r="NRL1" s="47"/>
      <c r="NRM1" s="47"/>
      <c r="NRN1" s="47"/>
      <c r="NRO1" s="47"/>
      <c r="NRP1" s="47"/>
      <c r="NRQ1" s="47"/>
      <c r="NRR1" s="47"/>
      <c r="NRS1" s="47"/>
      <c r="NRT1" s="47"/>
      <c r="NRU1" s="47"/>
      <c r="NRV1" s="47"/>
      <c r="NRW1" s="47"/>
      <c r="NRX1" s="47"/>
      <c r="NRY1" s="47"/>
      <c r="NRZ1" s="47"/>
      <c r="NSA1" s="47"/>
      <c r="NSB1" s="47"/>
      <c r="NSC1" s="47"/>
      <c r="NSD1" s="47"/>
      <c r="NSE1" s="47"/>
      <c r="NSF1" s="47"/>
      <c r="NSG1" s="47"/>
      <c r="NSH1" s="47"/>
      <c r="NSI1" s="47"/>
      <c r="NSJ1" s="47"/>
      <c r="NSK1" s="47"/>
      <c r="NSL1" s="47"/>
      <c r="NSM1" s="47"/>
      <c r="NSN1" s="47"/>
      <c r="NSO1" s="47"/>
      <c r="NSP1" s="47"/>
      <c r="NSQ1" s="47"/>
      <c r="NSR1" s="47"/>
      <c r="NSS1" s="47"/>
      <c r="NST1" s="47"/>
      <c r="NSU1" s="47"/>
      <c r="NSV1" s="47"/>
      <c r="NSW1" s="47"/>
      <c r="NSX1" s="47"/>
      <c r="NSY1" s="47"/>
      <c r="NSZ1" s="47"/>
      <c r="NTA1" s="47"/>
      <c r="NTB1" s="47"/>
      <c r="NTC1" s="47"/>
      <c r="NTD1" s="47"/>
      <c r="NTE1" s="47"/>
      <c r="NTF1" s="47"/>
      <c r="NTG1" s="47"/>
      <c r="NTH1" s="47"/>
      <c r="NTI1" s="47"/>
      <c r="NTJ1" s="47"/>
      <c r="NTK1" s="47"/>
      <c r="NTL1" s="47"/>
      <c r="NTM1" s="47"/>
      <c r="NTN1" s="47"/>
      <c r="NTO1" s="47"/>
      <c r="NTP1" s="47"/>
      <c r="NTQ1" s="47"/>
      <c r="NTR1" s="47"/>
      <c r="NTS1" s="47"/>
      <c r="NTT1" s="47"/>
      <c r="NTU1" s="47"/>
      <c r="NTV1" s="47"/>
      <c r="NTW1" s="47"/>
      <c r="NTX1" s="47"/>
      <c r="NTY1" s="47"/>
      <c r="NTZ1" s="47"/>
      <c r="NUA1" s="47"/>
      <c r="NUB1" s="47"/>
      <c r="NUC1" s="47"/>
      <c r="NUD1" s="47"/>
      <c r="NUE1" s="47"/>
      <c r="NUF1" s="47"/>
      <c r="NUG1" s="47"/>
      <c r="NUH1" s="47"/>
      <c r="NUI1" s="47"/>
      <c r="NUJ1" s="47"/>
      <c r="NUK1" s="47"/>
      <c r="NUL1" s="47"/>
      <c r="NUM1" s="47"/>
      <c r="NUN1" s="47"/>
      <c r="NUO1" s="47"/>
      <c r="NUP1" s="47"/>
      <c r="NUQ1" s="47"/>
      <c r="NUR1" s="47"/>
      <c r="NUS1" s="47"/>
      <c r="NUT1" s="47"/>
      <c r="NUU1" s="47"/>
      <c r="NUV1" s="47"/>
      <c r="NUW1" s="47"/>
      <c r="NUX1" s="47"/>
      <c r="NUY1" s="47"/>
      <c r="NUZ1" s="47"/>
      <c r="NVA1" s="47"/>
      <c r="NVB1" s="47"/>
      <c r="NVC1" s="47"/>
      <c r="NVD1" s="47"/>
      <c r="NVE1" s="47"/>
      <c r="NVF1" s="47"/>
      <c r="NVG1" s="47"/>
      <c r="NVH1" s="47"/>
      <c r="NVI1" s="47"/>
      <c r="NVJ1" s="47"/>
      <c r="NVK1" s="47"/>
      <c r="NVL1" s="47"/>
      <c r="NVM1" s="47"/>
      <c r="NVN1" s="47"/>
      <c r="NVO1" s="47"/>
      <c r="NVP1" s="47"/>
      <c r="NVQ1" s="47"/>
      <c r="NVR1" s="47"/>
      <c r="NVS1" s="47"/>
      <c r="NVT1" s="47"/>
      <c r="NVU1" s="47"/>
      <c r="NVV1" s="47"/>
      <c r="NVW1" s="47"/>
      <c r="NVX1" s="47"/>
      <c r="NVY1" s="47"/>
      <c r="NVZ1" s="47"/>
      <c r="NWA1" s="47"/>
      <c r="NWB1" s="47"/>
      <c r="NWC1" s="47"/>
      <c r="NWD1" s="47"/>
      <c r="NWE1" s="47"/>
      <c r="NWF1" s="47"/>
      <c r="NWG1" s="47"/>
      <c r="NWH1" s="47"/>
      <c r="NWI1" s="47"/>
      <c r="NWJ1" s="47"/>
      <c r="NWK1" s="47"/>
      <c r="NWL1" s="47"/>
      <c r="NWM1" s="47"/>
      <c r="NWN1" s="47"/>
      <c r="NWO1" s="47"/>
      <c r="NWP1" s="47"/>
      <c r="NWQ1" s="47"/>
      <c r="NWR1" s="47"/>
      <c r="NWS1" s="47"/>
      <c r="NWT1" s="47"/>
      <c r="NWU1" s="47"/>
      <c r="NWV1" s="47"/>
      <c r="NWW1" s="47"/>
      <c r="NWX1" s="47"/>
      <c r="NWY1" s="47"/>
      <c r="NWZ1" s="47"/>
      <c r="NXA1" s="47"/>
      <c r="NXB1" s="47"/>
      <c r="NXC1" s="47"/>
      <c r="NXD1" s="47"/>
      <c r="NXE1" s="47"/>
      <c r="NXF1" s="47"/>
      <c r="NXG1" s="47"/>
      <c r="NXH1" s="47"/>
      <c r="NXI1" s="47"/>
      <c r="NXJ1" s="47"/>
      <c r="NXK1" s="47"/>
      <c r="NXL1" s="47"/>
      <c r="NXM1" s="47"/>
      <c r="NXN1" s="47"/>
      <c r="NXO1" s="47"/>
      <c r="NXP1" s="47"/>
      <c r="NXQ1" s="47"/>
      <c r="NXR1" s="47"/>
      <c r="NXS1" s="47"/>
      <c r="NXT1" s="47"/>
      <c r="NXU1" s="47"/>
      <c r="NXV1" s="47"/>
      <c r="NXW1" s="47"/>
      <c r="NXX1" s="47"/>
      <c r="NXY1" s="47"/>
      <c r="NXZ1" s="47"/>
      <c r="NYA1" s="47"/>
      <c r="NYB1" s="47"/>
      <c r="NYC1" s="47"/>
      <c r="NYD1" s="47"/>
      <c r="NYE1" s="47"/>
      <c r="NYF1" s="47"/>
      <c r="NYG1" s="47"/>
      <c r="NYH1" s="47"/>
      <c r="NYI1" s="47"/>
      <c r="NYJ1" s="47"/>
      <c r="NYK1" s="47"/>
      <c r="NYL1" s="47"/>
      <c r="NYM1" s="47"/>
      <c r="NYN1" s="47"/>
      <c r="NYO1" s="47"/>
      <c r="NYP1" s="47"/>
      <c r="NYQ1" s="47"/>
      <c r="NYR1" s="47"/>
      <c r="NYS1" s="47"/>
      <c r="NYT1" s="47"/>
      <c r="NYU1" s="47"/>
      <c r="NYV1" s="47"/>
      <c r="NYW1" s="47"/>
      <c r="NYX1" s="47"/>
      <c r="NYY1" s="47"/>
      <c r="NYZ1" s="47"/>
      <c r="NZA1" s="47"/>
      <c r="NZB1" s="47"/>
      <c r="NZC1" s="47"/>
      <c r="NZD1" s="47"/>
      <c r="NZE1" s="47"/>
      <c r="NZF1" s="47"/>
      <c r="NZG1" s="47"/>
      <c r="NZH1" s="47"/>
      <c r="NZI1" s="47"/>
      <c r="NZJ1" s="47"/>
      <c r="NZK1" s="47"/>
      <c r="NZL1" s="47"/>
      <c r="NZM1" s="47"/>
      <c r="NZN1" s="47"/>
      <c r="NZO1" s="47"/>
      <c r="NZP1" s="47"/>
      <c r="NZQ1" s="47"/>
      <c r="NZR1" s="47"/>
      <c r="NZS1" s="47"/>
      <c r="NZT1" s="47"/>
      <c r="NZU1" s="47"/>
      <c r="NZV1" s="47"/>
      <c r="NZW1" s="47"/>
      <c r="NZX1" s="47"/>
      <c r="NZY1" s="47"/>
      <c r="NZZ1" s="47"/>
      <c r="OAA1" s="47"/>
      <c r="OAB1" s="47"/>
      <c r="OAC1" s="47"/>
      <c r="OAD1" s="47"/>
      <c r="OAE1" s="47"/>
      <c r="OAF1" s="47"/>
      <c r="OAG1" s="47"/>
      <c r="OAH1" s="47"/>
      <c r="OAI1" s="47"/>
      <c r="OAJ1" s="47"/>
      <c r="OAK1" s="47"/>
      <c r="OAL1" s="47"/>
      <c r="OAM1" s="47"/>
      <c r="OAN1" s="47"/>
      <c r="OAO1" s="47"/>
      <c r="OAP1" s="47"/>
      <c r="OAQ1" s="47"/>
      <c r="OAR1" s="47"/>
      <c r="OAS1" s="47"/>
      <c r="OAT1" s="47"/>
      <c r="OAU1" s="47"/>
      <c r="OAV1" s="47"/>
      <c r="OAW1" s="47"/>
      <c r="OAX1" s="47"/>
      <c r="OAY1" s="47"/>
      <c r="OAZ1" s="47"/>
      <c r="OBA1" s="47"/>
      <c r="OBB1" s="47"/>
      <c r="OBC1" s="47"/>
      <c r="OBD1" s="47"/>
      <c r="OBE1" s="47"/>
      <c r="OBF1" s="47"/>
      <c r="OBG1" s="47"/>
      <c r="OBH1" s="47"/>
      <c r="OBI1" s="47"/>
      <c r="OBJ1" s="47"/>
      <c r="OBK1" s="47"/>
      <c r="OBL1" s="47"/>
      <c r="OBM1" s="47"/>
      <c r="OBN1" s="47"/>
      <c r="OBO1" s="47"/>
      <c r="OBP1" s="47"/>
      <c r="OBQ1" s="47"/>
      <c r="OBR1" s="47"/>
      <c r="OBS1" s="47"/>
      <c r="OBT1" s="47"/>
      <c r="OBU1" s="47"/>
      <c r="OBV1" s="47"/>
      <c r="OBW1" s="47"/>
      <c r="OBX1" s="47"/>
      <c r="OBY1" s="47"/>
      <c r="OBZ1" s="47"/>
      <c r="OCA1" s="47"/>
      <c r="OCB1" s="47"/>
      <c r="OCC1" s="47"/>
      <c r="OCD1" s="47"/>
      <c r="OCE1" s="47"/>
      <c r="OCF1" s="47"/>
      <c r="OCG1" s="47"/>
      <c r="OCH1" s="47"/>
      <c r="OCI1" s="47"/>
      <c r="OCJ1" s="47"/>
      <c r="OCK1" s="47"/>
      <c r="OCL1" s="47"/>
      <c r="OCM1" s="47"/>
      <c r="OCN1" s="47"/>
      <c r="OCO1" s="47"/>
      <c r="OCP1" s="47"/>
      <c r="OCQ1" s="47"/>
      <c r="OCR1" s="47"/>
      <c r="OCS1" s="47"/>
      <c r="OCT1" s="47"/>
      <c r="OCU1" s="47"/>
      <c r="OCV1" s="47"/>
      <c r="OCW1" s="47"/>
      <c r="OCX1" s="47"/>
      <c r="OCY1" s="47"/>
      <c r="OCZ1" s="47"/>
      <c r="ODA1" s="47"/>
      <c r="ODB1" s="47"/>
      <c r="ODC1" s="47"/>
      <c r="ODD1" s="47"/>
      <c r="ODE1" s="47"/>
      <c r="ODF1" s="47"/>
      <c r="ODG1" s="47"/>
      <c r="ODH1" s="47"/>
      <c r="ODI1" s="47"/>
      <c r="ODJ1" s="47"/>
      <c r="ODK1" s="47"/>
      <c r="ODL1" s="47"/>
      <c r="ODM1" s="47"/>
      <c r="ODN1" s="47"/>
      <c r="ODO1" s="47"/>
      <c r="ODP1" s="47"/>
      <c r="ODQ1" s="47"/>
      <c r="ODR1" s="47"/>
      <c r="ODS1" s="47"/>
      <c r="ODT1" s="47"/>
      <c r="ODU1" s="47"/>
      <c r="ODV1" s="47"/>
      <c r="ODW1" s="47"/>
      <c r="ODX1" s="47"/>
      <c r="ODY1" s="47"/>
      <c r="ODZ1" s="47"/>
      <c r="OEA1" s="47"/>
      <c r="OEB1" s="47"/>
      <c r="OEC1" s="47"/>
      <c r="OED1" s="47"/>
      <c r="OEE1" s="47"/>
      <c r="OEF1" s="47"/>
      <c r="OEG1" s="47"/>
      <c r="OEH1" s="47"/>
      <c r="OEI1" s="47"/>
      <c r="OEJ1" s="47"/>
      <c r="OEK1" s="47"/>
      <c r="OEL1" s="47"/>
      <c r="OEM1" s="47"/>
      <c r="OEN1" s="47"/>
      <c r="OEO1" s="47"/>
      <c r="OEP1" s="47"/>
      <c r="OEQ1" s="47"/>
      <c r="OER1" s="47"/>
      <c r="OES1" s="47"/>
      <c r="OET1" s="47"/>
      <c r="OEU1" s="47"/>
      <c r="OEV1" s="47"/>
      <c r="OEW1" s="47"/>
      <c r="OEX1" s="47"/>
      <c r="OEY1" s="47"/>
      <c r="OEZ1" s="47"/>
      <c r="OFA1" s="47"/>
      <c r="OFB1" s="47"/>
      <c r="OFC1" s="47"/>
      <c r="OFD1" s="47"/>
      <c r="OFE1" s="47"/>
      <c r="OFF1" s="47"/>
      <c r="OFG1" s="47"/>
      <c r="OFH1" s="47"/>
      <c r="OFI1" s="47"/>
      <c r="OFJ1" s="47"/>
      <c r="OFK1" s="47"/>
      <c r="OFL1" s="47"/>
      <c r="OFM1" s="47"/>
      <c r="OFN1" s="47"/>
      <c r="OFO1" s="47"/>
      <c r="OFP1" s="47"/>
      <c r="OFQ1" s="47"/>
      <c r="OFR1" s="47"/>
      <c r="OFS1" s="47"/>
      <c r="OFT1" s="47"/>
      <c r="OFU1" s="47"/>
      <c r="OFV1" s="47"/>
      <c r="OFW1" s="47"/>
      <c r="OFX1" s="47"/>
      <c r="OFY1" s="47"/>
      <c r="OFZ1" s="47"/>
      <c r="OGA1" s="47"/>
      <c r="OGB1" s="47"/>
      <c r="OGC1" s="47"/>
      <c r="OGD1" s="47"/>
      <c r="OGE1" s="47"/>
      <c r="OGF1" s="47"/>
      <c r="OGG1" s="47"/>
      <c r="OGH1" s="47"/>
      <c r="OGI1" s="47"/>
      <c r="OGJ1" s="47"/>
      <c r="OGK1" s="47"/>
      <c r="OGL1" s="47"/>
      <c r="OGM1" s="47"/>
      <c r="OGN1" s="47"/>
      <c r="OGO1" s="47"/>
      <c r="OGP1" s="47"/>
      <c r="OGQ1" s="47"/>
      <c r="OGR1" s="47"/>
      <c r="OGS1" s="47"/>
      <c r="OGT1" s="47"/>
      <c r="OGU1" s="47"/>
      <c r="OGV1" s="47"/>
      <c r="OGW1" s="47"/>
      <c r="OGX1" s="47"/>
      <c r="OGY1" s="47"/>
      <c r="OGZ1" s="47"/>
      <c r="OHA1" s="47"/>
      <c r="OHB1" s="47"/>
      <c r="OHC1" s="47"/>
      <c r="OHD1" s="47"/>
      <c r="OHE1" s="47"/>
      <c r="OHF1" s="47"/>
      <c r="OHG1" s="47"/>
      <c r="OHH1" s="47"/>
      <c r="OHI1" s="47"/>
      <c r="OHJ1" s="47"/>
      <c r="OHK1" s="47"/>
      <c r="OHL1" s="47"/>
      <c r="OHM1" s="47"/>
      <c r="OHN1" s="47"/>
      <c r="OHO1" s="47"/>
      <c r="OHP1" s="47"/>
      <c r="OHQ1" s="47"/>
      <c r="OHR1" s="47"/>
      <c r="OHS1" s="47"/>
      <c r="OHT1" s="47"/>
      <c r="OHU1" s="47"/>
      <c r="OHV1" s="47"/>
      <c r="OHW1" s="47"/>
      <c r="OHX1" s="47"/>
      <c r="OHY1" s="47"/>
      <c r="OHZ1" s="47"/>
      <c r="OIA1" s="47"/>
      <c r="OIB1" s="47"/>
      <c r="OIC1" s="47"/>
      <c r="OID1" s="47"/>
      <c r="OIE1" s="47"/>
      <c r="OIF1" s="47"/>
      <c r="OIG1" s="47"/>
      <c r="OIH1" s="47"/>
      <c r="OII1" s="47"/>
      <c r="OIJ1" s="47"/>
      <c r="OIK1" s="47"/>
      <c r="OIL1" s="47"/>
      <c r="OIM1" s="47"/>
      <c r="OIN1" s="47"/>
      <c r="OIO1" s="47"/>
      <c r="OIP1" s="47"/>
      <c r="OIQ1" s="47"/>
      <c r="OIR1" s="47"/>
      <c r="OIS1" s="47"/>
      <c r="OIT1" s="47"/>
      <c r="OIU1" s="47"/>
      <c r="OIV1" s="47"/>
      <c r="OIW1" s="47"/>
      <c r="OIX1" s="47"/>
      <c r="OIY1" s="47"/>
      <c r="OIZ1" s="47"/>
      <c r="OJA1" s="47"/>
      <c r="OJB1" s="47"/>
      <c r="OJC1" s="47"/>
      <c r="OJD1" s="47"/>
      <c r="OJE1" s="47"/>
      <c r="OJF1" s="47"/>
      <c r="OJG1" s="47"/>
      <c r="OJH1" s="47"/>
      <c r="OJI1" s="47"/>
      <c r="OJJ1" s="47"/>
      <c r="OJK1" s="47"/>
      <c r="OJL1" s="47"/>
      <c r="OJM1" s="47"/>
      <c r="OJN1" s="47"/>
      <c r="OJO1" s="47"/>
      <c r="OJP1" s="47"/>
      <c r="OJQ1" s="47"/>
      <c r="OJR1" s="47"/>
      <c r="OJS1" s="47"/>
      <c r="OJT1" s="47"/>
      <c r="OJU1" s="47"/>
      <c r="OJV1" s="47"/>
      <c r="OJW1" s="47"/>
      <c r="OJX1" s="47"/>
      <c r="OJY1" s="47"/>
      <c r="OJZ1" s="47"/>
      <c r="OKA1" s="47"/>
      <c r="OKB1" s="47"/>
      <c r="OKC1" s="47"/>
      <c r="OKD1" s="47"/>
      <c r="OKE1" s="47"/>
      <c r="OKF1" s="47"/>
      <c r="OKG1" s="47"/>
      <c r="OKH1" s="47"/>
      <c r="OKI1" s="47"/>
      <c r="OKJ1" s="47"/>
      <c r="OKK1" s="47"/>
      <c r="OKL1" s="47"/>
      <c r="OKM1" s="47"/>
      <c r="OKN1" s="47"/>
      <c r="OKO1" s="47"/>
      <c r="OKP1" s="47"/>
      <c r="OKQ1" s="47"/>
      <c r="OKR1" s="47"/>
      <c r="OKS1" s="47"/>
      <c r="OKT1" s="47"/>
      <c r="OKU1" s="47"/>
      <c r="OKV1" s="47"/>
      <c r="OKW1" s="47"/>
      <c r="OKX1" s="47"/>
      <c r="OKY1" s="47"/>
      <c r="OKZ1" s="47"/>
      <c r="OLA1" s="47"/>
      <c r="OLB1" s="47"/>
      <c r="OLC1" s="47"/>
      <c r="OLD1" s="47"/>
      <c r="OLE1" s="47"/>
      <c r="OLF1" s="47"/>
      <c r="OLG1" s="47"/>
      <c r="OLH1" s="47"/>
      <c r="OLI1" s="47"/>
      <c r="OLJ1" s="47"/>
      <c r="OLK1" s="47"/>
      <c r="OLL1" s="47"/>
      <c r="OLM1" s="47"/>
      <c r="OLN1" s="47"/>
      <c r="OLO1" s="47"/>
      <c r="OLP1" s="47"/>
      <c r="OLQ1" s="47"/>
      <c r="OLR1" s="47"/>
      <c r="OLS1" s="47"/>
      <c r="OLT1" s="47"/>
      <c r="OLU1" s="47"/>
      <c r="OLV1" s="47"/>
      <c r="OLW1" s="47"/>
      <c r="OLX1" s="47"/>
      <c r="OLY1" s="47"/>
      <c r="OLZ1" s="47"/>
      <c r="OMA1" s="47"/>
      <c r="OMB1" s="47"/>
      <c r="OMC1" s="47"/>
      <c r="OMD1" s="47"/>
      <c r="OME1" s="47"/>
      <c r="OMF1" s="47"/>
      <c r="OMG1" s="47"/>
      <c r="OMH1" s="47"/>
      <c r="OMI1" s="47"/>
      <c r="OMJ1" s="47"/>
      <c r="OMK1" s="47"/>
      <c r="OML1" s="47"/>
      <c r="OMM1" s="47"/>
      <c r="OMN1" s="47"/>
      <c r="OMO1" s="47"/>
      <c r="OMP1" s="47"/>
      <c r="OMQ1" s="47"/>
      <c r="OMR1" s="47"/>
      <c r="OMS1" s="47"/>
      <c r="OMT1" s="47"/>
      <c r="OMU1" s="47"/>
      <c r="OMV1" s="47"/>
      <c r="OMW1" s="47"/>
      <c r="OMX1" s="47"/>
      <c r="OMY1" s="47"/>
      <c r="OMZ1" s="47"/>
      <c r="ONA1" s="47"/>
      <c r="ONB1" s="47"/>
      <c r="ONC1" s="47"/>
      <c r="OND1" s="47"/>
      <c r="ONE1" s="47"/>
      <c r="ONF1" s="47"/>
      <c r="ONG1" s="47"/>
      <c r="ONH1" s="47"/>
      <c r="ONI1" s="47"/>
      <c r="ONJ1" s="47"/>
      <c r="ONK1" s="47"/>
      <c r="ONL1" s="47"/>
      <c r="ONM1" s="47"/>
      <c r="ONN1" s="47"/>
      <c r="ONO1" s="47"/>
      <c r="ONP1" s="47"/>
      <c r="ONQ1" s="47"/>
      <c r="ONR1" s="47"/>
      <c r="ONS1" s="47"/>
      <c r="ONT1" s="47"/>
      <c r="ONU1" s="47"/>
      <c r="ONV1" s="47"/>
      <c r="ONW1" s="47"/>
      <c r="ONX1" s="47"/>
      <c r="ONY1" s="47"/>
      <c r="ONZ1" s="47"/>
      <c r="OOA1" s="47"/>
      <c r="OOB1" s="47"/>
      <c r="OOC1" s="47"/>
      <c r="OOD1" s="47"/>
      <c r="OOE1" s="47"/>
      <c r="OOF1" s="47"/>
      <c r="OOG1" s="47"/>
      <c r="OOH1" s="47"/>
      <c r="OOI1" s="47"/>
      <c r="OOJ1" s="47"/>
      <c r="OOK1" s="47"/>
      <c r="OOL1" s="47"/>
      <c r="OOM1" s="47"/>
      <c r="OON1" s="47"/>
      <c r="OOO1" s="47"/>
      <c r="OOP1" s="47"/>
      <c r="OOQ1" s="47"/>
      <c r="OOR1" s="47"/>
      <c r="OOS1" s="47"/>
      <c r="OOT1" s="47"/>
      <c r="OOU1" s="47"/>
      <c r="OOV1" s="47"/>
      <c r="OOW1" s="47"/>
      <c r="OOX1" s="47"/>
      <c r="OOY1" s="47"/>
      <c r="OOZ1" s="47"/>
      <c r="OPA1" s="47"/>
      <c r="OPB1" s="47"/>
      <c r="OPC1" s="47"/>
      <c r="OPD1" s="47"/>
      <c r="OPE1" s="47"/>
      <c r="OPF1" s="47"/>
      <c r="OPG1" s="47"/>
      <c r="OPH1" s="47"/>
      <c r="OPI1" s="47"/>
      <c r="OPJ1" s="47"/>
      <c r="OPK1" s="47"/>
      <c r="OPL1" s="47"/>
      <c r="OPM1" s="47"/>
      <c r="OPN1" s="47"/>
      <c r="OPO1" s="47"/>
      <c r="OPP1" s="47"/>
      <c r="OPQ1" s="47"/>
      <c r="OPR1" s="47"/>
      <c r="OPS1" s="47"/>
      <c r="OPT1" s="47"/>
      <c r="OPU1" s="47"/>
      <c r="OPV1" s="47"/>
      <c r="OPW1" s="47"/>
      <c r="OPX1" s="47"/>
      <c r="OPY1" s="47"/>
      <c r="OPZ1" s="47"/>
      <c r="OQA1" s="47"/>
      <c r="OQB1" s="47"/>
      <c r="OQC1" s="47"/>
      <c r="OQD1" s="47"/>
      <c r="OQE1" s="47"/>
      <c r="OQF1" s="47"/>
      <c r="OQG1" s="47"/>
      <c r="OQH1" s="47"/>
      <c r="OQI1" s="47"/>
      <c r="OQJ1" s="47"/>
      <c r="OQK1" s="47"/>
      <c r="OQL1" s="47"/>
      <c r="OQM1" s="47"/>
      <c r="OQN1" s="47"/>
      <c r="OQO1" s="47"/>
      <c r="OQP1" s="47"/>
      <c r="OQQ1" s="47"/>
      <c r="OQR1" s="47"/>
      <c r="OQS1" s="47"/>
      <c r="OQT1" s="47"/>
      <c r="OQU1" s="47"/>
      <c r="OQV1" s="47"/>
      <c r="OQW1" s="47"/>
      <c r="OQX1" s="47"/>
      <c r="OQY1" s="47"/>
      <c r="OQZ1" s="47"/>
      <c r="ORA1" s="47"/>
      <c r="ORB1" s="47"/>
      <c r="ORC1" s="47"/>
      <c r="ORD1" s="47"/>
      <c r="ORE1" s="47"/>
      <c r="ORF1" s="47"/>
      <c r="ORG1" s="47"/>
      <c r="ORH1" s="47"/>
      <c r="ORI1" s="47"/>
      <c r="ORJ1" s="47"/>
      <c r="ORK1" s="47"/>
      <c r="ORL1" s="47"/>
      <c r="ORM1" s="47"/>
      <c r="ORN1" s="47"/>
      <c r="ORO1" s="47"/>
      <c r="ORP1" s="47"/>
      <c r="ORQ1" s="47"/>
      <c r="ORR1" s="47"/>
      <c r="ORS1" s="47"/>
      <c r="ORT1" s="47"/>
      <c r="ORU1" s="47"/>
      <c r="ORV1" s="47"/>
      <c r="ORW1" s="47"/>
      <c r="ORX1" s="47"/>
      <c r="ORY1" s="47"/>
      <c r="ORZ1" s="47"/>
      <c r="OSA1" s="47"/>
      <c r="OSB1" s="47"/>
      <c r="OSC1" s="47"/>
      <c r="OSD1" s="47"/>
      <c r="OSE1" s="47"/>
      <c r="OSF1" s="47"/>
      <c r="OSG1" s="47"/>
      <c r="OSH1" s="47"/>
      <c r="OSI1" s="47"/>
      <c r="OSJ1" s="47"/>
      <c r="OSK1" s="47"/>
      <c r="OSL1" s="47"/>
      <c r="OSM1" s="47"/>
      <c r="OSN1" s="47"/>
      <c r="OSO1" s="47"/>
      <c r="OSP1" s="47"/>
      <c r="OSQ1" s="47"/>
      <c r="OSR1" s="47"/>
      <c r="OSS1" s="47"/>
      <c r="OST1" s="47"/>
      <c r="OSU1" s="47"/>
      <c r="OSV1" s="47"/>
      <c r="OSW1" s="47"/>
      <c r="OSX1" s="47"/>
      <c r="OSY1" s="47"/>
      <c r="OSZ1" s="47"/>
      <c r="OTA1" s="47"/>
      <c r="OTB1" s="47"/>
      <c r="OTC1" s="47"/>
      <c r="OTD1" s="47"/>
      <c r="OTE1" s="47"/>
      <c r="OTF1" s="47"/>
      <c r="OTG1" s="47"/>
      <c r="OTH1" s="47"/>
      <c r="OTI1" s="47"/>
      <c r="OTJ1" s="47"/>
      <c r="OTK1" s="47"/>
      <c r="OTL1" s="47"/>
      <c r="OTM1" s="47"/>
      <c r="OTN1" s="47"/>
      <c r="OTO1" s="47"/>
      <c r="OTP1" s="47"/>
      <c r="OTQ1" s="47"/>
      <c r="OTR1" s="47"/>
      <c r="OTS1" s="47"/>
      <c r="OTT1" s="47"/>
      <c r="OTU1" s="47"/>
      <c r="OTV1" s="47"/>
      <c r="OTW1" s="47"/>
      <c r="OTX1" s="47"/>
      <c r="OTY1" s="47"/>
      <c r="OTZ1" s="47"/>
      <c r="OUA1" s="47"/>
      <c r="OUB1" s="47"/>
      <c r="OUC1" s="47"/>
      <c r="OUD1" s="47"/>
      <c r="OUE1" s="47"/>
      <c r="OUF1" s="47"/>
      <c r="OUG1" s="47"/>
      <c r="OUH1" s="47"/>
      <c r="OUI1" s="47"/>
      <c r="OUJ1" s="47"/>
      <c r="OUK1" s="47"/>
      <c r="OUL1" s="47"/>
      <c r="OUM1" s="47"/>
      <c r="OUN1" s="47"/>
      <c r="OUO1" s="47"/>
      <c r="OUP1" s="47"/>
      <c r="OUQ1" s="47"/>
      <c r="OUR1" s="47"/>
      <c r="OUS1" s="47"/>
      <c r="OUT1" s="47"/>
      <c r="OUU1" s="47"/>
      <c r="OUV1" s="47"/>
      <c r="OUW1" s="47"/>
      <c r="OUX1" s="47"/>
      <c r="OUY1" s="47"/>
      <c r="OUZ1" s="47"/>
      <c r="OVA1" s="47"/>
      <c r="OVB1" s="47"/>
      <c r="OVC1" s="47"/>
      <c r="OVD1" s="47"/>
      <c r="OVE1" s="47"/>
      <c r="OVF1" s="47"/>
      <c r="OVG1" s="47"/>
      <c r="OVH1" s="47"/>
      <c r="OVI1" s="47"/>
      <c r="OVJ1" s="47"/>
      <c r="OVK1" s="47"/>
      <c r="OVL1" s="47"/>
      <c r="OVM1" s="47"/>
      <c r="OVN1" s="47"/>
      <c r="OVO1" s="47"/>
      <c r="OVP1" s="47"/>
      <c r="OVQ1" s="47"/>
      <c r="OVR1" s="47"/>
      <c r="OVS1" s="47"/>
      <c r="OVT1" s="47"/>
      <c r="OVU1" s="47"/>
      <c r="OVV1" s="47"/>
      <c r="OVW1" s="47"/>
      <c r="OVX1" s="47"/>
      <c r="OVY1" s="47"/>
      <c r="OVZ1" s="47"/>
      <c r="OWA1" s="47"/>
      <c r="OWB1" s="47"/>
      <c r="OWC1" s="47"/>
      <c r="OWD1" s="47"/>
      <c r="OWE1" s="47"/>
      <c r="OWF1" s="47"/>
      <c r="OWG1" s="47"/>
      <c r="OWH1" s="47"/>
      <c r="OWI1" s="47"/>
      <c r="OWJ1" s="47"/>
      <c r="OWK1" s="47"/>
      <c r="OWL1" s="47"/>
      <c r="OWM1" s="47"/>
      <c r="OWN1" s="47"/>
      <c r="OWO1" s="47"/>
      <c r="OWP1" s="47"/>
      <c r="OWQ1" s="47"/>
      <c r="OWR1" s="47"/>
      <c r="OWS1" s="47"/>
      <c r="OWT1" s="47"/>
      <c r="OWU1" s="47"/>
      <c r="OWV1" s="47"/>
      <c r="OWW1" s="47"/>
      <c r="OWX1" s="47"/>
      <c r="OWY1" s="47"/>
      <c r="OWZ1" s="47"/>
      <c r="OXA1" s="47"/>
      <c r="OXB1" s="47"/>
      <c r="OXC1" s="47"/>
      <c r="OXD1" s="47"/>
      <c r="OXE1" s="47"/>
      <c r="OXF1" s="47"/>
      <c r="OXG1" s="47"/>
      <c r="OXH1" s="47"/>
      <c r="OXI1" s="47"/>
      <c r="OXJ1" s="47"/>
      <c r="OXK1" s="47"/>
      <c r="OXL1" s="47"/>
      <c r="OXM1" s="47"/>
      <c r="OXN1" s="47"/>
      <c r="OXO1" s="47"/>
      <c r="OXP1" s="47"/>
      <c r="OXQ1" s="47"/>
      <c r="OXR1" s="47"/>
      <c r="OXS1" s="47"/>
      <c r="OXT1" s="47"/>
      <c r="OXU1" s="47"/>
      <c r="OXV1" s="47"/>
      <c r="OXW1" s="47"/>
      <c r="OXX1" s="47"/>
      <c r="OXY1" s="47"/>
      <c r="OXZ1" s="47"/>
      <c r="OYA1" s="47"/>
      <c r="OYB1" s="47"/>
      <c r="OYC1" s="47"/>
      <c r="OYD1" s="47"/>
      <c r="OYE1" s="47"/>
      <c r="OYF1" s="47"/>
      <c r="OYG1" s="47"/>
      <c r="OYH1" s="47"/>
      <c r="OYI1" s="47"/>
      <c r="OYJ1" s="47"/>
      <c r="OYK1" s="47"/>
      <c r="OYL1" s="47"/>
      <c r="OYM1" s="47"/>
      <c r="OYN1" s="47"/>
      <c r="OYO1" s="47"/>
      <c r="OYP1" s="47"/>
      <c r="OYQ1" s="47"/>
      <c r="OYR1" s="47"/>
      <c r="OYS1" s="47"/>
      <c r="OYT1" s="47"/>
      <c r="OYU1" s="47"/>
      <c r="OYV1" s="47"/>
      <c r="OYW1" s="47"/>
      <c r="OYX1" s="47"/>
      <c r="OYY1" s="47"/>
      <c r="OYZ1" s="47"/>
      <c r="OZA1" s="47"/>
      <c r="OZB1" s="47"/>
      <c r="OZC1" s="47"/>
      <c r="OZD1" s="47"/>
      <c r="OZE1" s="47"/>
      <c r="OZF1" s="47"/>
      <c r="OZG1" s="47"/>
      <c r="OZH1" s="47"/>
      <c r="OZI1" s="47"/>
      <c r="OZJ1" s="47"/>
      <c r="OZK1" s="47"/>
      <c r="OZL1" s="47"/>
      <c r="OZM1" s="47"/>
      <c r="OZN1" s="47"/>
      <c r="OZO1" s="47"/>
      <c r="OZP1" s="47"/>
      <c r="OZQ1" s="47"/>
      <c r="OZR1" s="47"/>
      <c r="OZS1" s="47"/>
      <c r="OZT1" s="47"/>
      <c r="OZU1" s="47"/>
      <c r="OZV1" s="47"/>
      <c r="OZW1" s="47"/>
      <c r="OZX1" s="47"/>
      <c r="OZY1" s="47"/>
      <c r="OZZ1" s="47"/>
      <c r="PAA1" s="47"/>
      <c r="PAB1" s="47"/>
      <c r="PAC1" s="47"/>
      <c r="PAD1" s="47"/>
      <c r="PAE1" s="47"/>
      <c r="PAF1" s="47"/>
      <c r="PAG1" s="47"/>
      <c r="PAH1" s="47"/>
      <c r="PAI1" s="47"/>
      <c r="PAJ1" s="47"/>
      <c r="PAK1" s="47"/>
      <c r="PAL1" s="47"/>
      <c r="PAM1" s="47"/>
      <c r="PAN1" s="47"/>
      <c r="PAO1" s="47"/>
      <c r="PAP1" s="47"/>
      <c r="PAQ1" s="47"/>
      <c r="PAR1" s="47"/>
      <c r="PAS1" s="47"/>
      <c r="PAT1" s="47"/>
      <c r="PAU1" s="47"/>
      <c r="PAV1" s="47"/>
      <c r="PAW1" s="47"/>
      <c r="PAX1" s="47"/>
      <c r="PAY1" s="47"/>
      <c r="PAZ1" s="47"/>
      <c r="PBA1" s="47"/>
      <c r="PBB1" s="47"/>
      <c r="PBC1" s="47"/>
      <c r="PBD1" s="47"/>
      <c r="PBE1" s="47"/>
      <c r="PBF1" s="47"/>
      <c r="PBG1" s="47"/>
      <c r="PBH1" s="47"/>
      <c r="PBI1" s="47"/>
      <c r="PBJ1" s="47"/>
      <c r="PBK1" s="47"/>
      <c r="PBL1" s="47"/>
      <c r="PBM1" s="47"/>
      <c r="PBN1" s="47"/>
      <c r="PBO1" s="47"/>
      <c r="PBP1" s="47"/>
      <c r="PBQ1" s="47"/>
      <c r="PBR1" s="47"/>
      <c r="PBS1" s="47"/>
      <c r="PBT1" s="47"/>
      <c r="PBU1" s="47"/>
      <c r="PBV1" s="47"/>
      <c r="PBW1" s="47"/>
      <c r="PBX1" s="47"/>
      <c r="PBY1" s="47"/>
      <c r="PBZ1" s="47"/>
      <c r="PCA1" s="47"/>
      <c r="PCB1" s="47"/>
      <c r="PCC1" s="47"/>
      <c r="PCD1" s="47"/>
      <c r="PCE1" s="47"/>
      <c r="PCF1" s="47"/>
      <c r="PCG1" s="47"/>
      <c r="PCH1" s="47"/>
      <c r="PCI1" s="47"/>
      <c r="PCJ1" s="47"/>
      <c r="PCK1" s="47"/>
      <c r="PCL1" s="47"/>
      <c r="PCM1" s="47"/>
      <c r="PCN1" s="47"/>
      <c r="PCO1" s="47"/>
      <c r="PCP1" s="47"/>
      <c r="PCQ1" s="47"/>
      <c r="PCR1" s="47"/>
      <c r="PCS1" s="47"/>
      <c r="PCT1" s="47"/>
      <c r="PCU1" s="47"/>
      <c r="PCV1" s="47"/>
      <c r="PCW1" s="47"/>
      <c r="PCX1" s="47"/>
      <c r="PCY1" s="47"/>
      <c r="PCZ1" s="47"/>
      <c r="PDA1" s="47"/>
      <c r="PDB1" s="47"/>
      <c r="PDC1" s="47"/>
      <c r="PDD1" s="47"/>
      <c r="PDE1" s="47"/>
      <c r="PDF1" s="47"/>
      <c r="PDG1" s="47"/>
      <c r="PDH1" s="47"/>
      <c r="PDI1" s="47"/>
      <c r="PDJ1" s="47"/>
      <c r="PDK1" s="47"/>
      <c r="PDL1" s="47"/>
      <c r="PDM1" s="47"/>
      <c r="PDN1" s="47"/>
      <c r="PDO1" s="47"/>
      <c r="PDP1" s="47"/>
      <c r="PDQ1" s="47"/>
      <c r="PDR1" s="47"/>
      <c r="PDS1" s="47"/>
      <c r="PDT1" s="47"/>
      <c r="PDU1" s="47"/>
      <c r="PDV1" s="47"/>
      <c r="PDW1" s="47"/>
      <c r="PDX1" s="47"/>
      <c r="PDY1" s="47"/>
      <c r="PDZ1" s="47"/>
      <c r="PEA1" s="47"/>
      <c r="PEB1" s="47"/>
      <c r="PEC1" s="47"/>
      <c r="PED1" s="47"/>
      <c r="PEE1" s="47"/>
      <c r="PEF1" s="47"/>
      <c r="PEG1" s="47"/>
      <c r="PEH1" s="47"/>
      <c r="PEI1" s="47"/>
      <c r="PEJ1" s="47"/>
      <c r="PEK1" s="47"/>
      <c r="PEL1" s="47"/>
      <c r="PEM1" s="47"/>
      <c r="PEN1" s="47"/>
      <c r="PEO1" s="47"/>
      <c r="PEP1" s="47"/>
      <c r="PEQ1" s="47"/>
      <c r="PER1" s="47"/>
      <c r="PES1" s="47"/>
      <c r="PET1" s="47"/>
      <c r="PEU1" s="47"/>
      <c r="PEV1" s="47"/>
      <c r="PEW1" s="47"/>
      <c r="PEX1" s="47"/>
      <c r="PEY1" s="47"/>
      <c r="PEZ1" s="47"/>
      <c r="PFA1" s="47"/>
      <c r="PFB1" s="47"/>
      <c r="PFC1" s="47"/>
      <c r="PFD1" s="47"/>
      <c r="PFE1" s="47"/>
      <c r="PFF1" s="47"/>
      <c r="PFG1" s="47"/>
      <c r="PFH1" s="47"/>
      <c r="PFI1" s="47"/>
      <c r="PFJ1" s="47"/>
      <c r="PFK1" s="47"/>
      <c r="PFL1" s="47"/>
      <c r="PFM1" s="47"/>
      <c r="PFN1" s="47"/>
      <c r="PFO1" s="47"/>
      <c r="PFP1" s="47"/>
      <c r="PFQ1" s="47"/>
      <c r="PFR1" s="47"/>
      <c r="PFS1" s="47"/>
      <c r="PFT1" s="47"/>
      <c r="PFU1" s="47"/>
      <c r="PFV1" s="47"/>
      <c r="PFW1" s="47"/>
      <c r="PFX1" s="47"/>
      <c r="PFY1" s="47"/>
      <c r="PFZ1" s="47"/>
      <c r="PGA1" s="47"/>
      <c r="PGB1" s="47"/>
      <c r="PGC1" s="47"/>
      <c r="PGD1" s="47"/>
      <c r="PGE1" s="47"/>
      <c r="PGF1" s="47"/>
      <c r="PGG1" s="47"/>
      <c r="PGH1" s="47"/>
      <c r="PGI1" s="47"/>
      <c r="PGJ1" s="47"/>
      <c r="PGK1" s="47"/>
      <c r="PGL1" s="47"/>
      <c r="PGM1" s="47"/>
      <c r="PGN1" s="47"/>
      <c r="PGO1" s="47"/>
      <c r="PGP1" s="47"/>
      <c r="PGQ1" s="47"/>
      <c r="PGR1" s="47"/>
      <c r="PGS1" s="47"/>
      <c r="PGT1" s="47"/>
      <c r="PGU1" s="47"/>
      <c r="PGV1" s="47"/>
      <c r="PGW1" s="47"/>
      <c r="PGX1" s="47"/>
      <c r="PGY1" s="47"/>
      <c r="PGZ1" s="47"/>
      <c r="PHA1" s="47"/>
      <c r="PHB1" s="47"/>
      <c r="PHC1" s="47"/>
      <c r="PHD1" s="47"/>
      <c r="PHE1" s="47"/>
      <c r="PHF1" s="47"/>
      <c r="PHG1" s="47"/>
      <c r="PHH1" s="47"/>
      <c r="PHI1" s="47"/>
      <c r="PHJ1" s="47"/>
      <c r="PHK1" s="47"/>
      <c r="PHL1" s="47"/>
      <c r="PHM1" s="47"/>
      <c r="PHN1" s="47"/>
      <c r="PHO1" s="47"/>
      <c r="PHP1" s="47"/>
      <c r="PHQ1" s="47"/>
      <c r="PHR1" s="47"/>
      <c r="PHS1" s="47"/>
      <c r="PHT1" s="47"/>
      <c r="PHU1" s="47"/>
      <c r="PHV1" s="47"/>
      <c r="PHW1" s="47"/>
      <c r="PHX1" s="47"/>
      <c r="PHY1" s="47"/>
      <c r="PHZ1" s="47"/>
      <c r="PIA1" s="47"/>
      <c r="PIB1" s="47"/>
      <c r="PIC1" s="47"/>
      <c r="PID1" s="47"/>
      <c r="PIE1" s="47"/>
      <c r="PIF1" s="47"/>
      <c r="PIG1" s="47"/>
      <c r="PIH1" s="47"/>
      <c r="PII1" s="47"/>
      <c r="PIJ1" s="47"/>
      <c r="PIK1" s="47"/>
      <c r="PIL1" s="47"/>
      <c r="PIM1" s="47"/>
      <c r="PIN1" s="47"/>
      <c r="PIO1" s="47"/>
      <c r="PIP1" s="47"/>
      <c r="PIQ1" s="47"/>
      <c r="PIR1" s="47"/>
      <c r="PIS1" s="47"/>
      <c r="PIT1" s="47"/>
      <c r="PIU1" s="47"/>
      <c r="PIV1" s="47"/>
      <c r="PIW1" s="47"/>
      <c r="PIX1" s="47"/>
      <c r="PIY1" s="47"/>
      <c r="PIZ1" s="47"/>
      <c r="PJA1" s="47"/>
      <c r="PJB1" s="47"/>
      <c r="PJC1" s="47"/>
      <c r="PJD1" s="47"/>
      <c r="PJE1" s="47"/>
      <c r="PJF1" s="47"/>
      <c r="PJG1" s="47"/>
      <c r="PJH1" s="47"/>
      <c r="PJI1" s="47"/>
      <c r="PJJ1" s="47"/>
      <c r="PJK1" s="47"/>
      <c r="PJL1" s="47"/>
      <c r="PJM1" s="47"/>
      <c r="PJN1" s="47"/>
      <c r="PJO1" s="47"/>
      <c r="PJP1" s="47"/>
      <c r="PJQ1" s="47"/>
      <c r="PJR1" s="47"/>
      <c r="PJS1" s="47"/>
      <c r="PJT1" s="47"/>
      <c r="PJU1" s="47"/>
      <c r="PJV1" s="47"/>
      <c r="PJW1" s="47"/>
      <c r="PJX1" s="47"/>
      <c r="PJY1" s="47"/>
      <c r="PJZ1" s="47"/>
      <c r="PKA1" s="47"/>
      <c r="PKB1" s="47"/>
      <c r="PKC1" s="47"/>
      <c r="PKD1" s="47"/>
      <c r="PKE1" s="47"/>
      <c r="PKF1" s="47"/>
      <c r="PKG1" s="47"/>
      <c r="PKH1" s="47"/>
      <c r="PKI1" s="47"/>
      <c r="PKJ1" s="47"/>
      <c r="PKK1" s="47"/>
      <c r="PKL1" s="47"/>
      <c r="PKM1" s="47"/>
      <c r="PKN1" s="47"/>
      <c r="PKO1" s="47"/>
      <c r="PKP1" s="47"/>
      <c r="PKQ1" s="47"/>
      <c r="PKR1" s="47"/>
      <c r="PKS1" s="47"/>
      <c r="PKT1" s="47"/>
      <c r="PKU1" s="47"/>
      <c r="PKV1" s="47"/>
      <c r="PKW1" s="47"/>
      <c r="PKX1" s="47"/>
      <c r="PKY1" s="47"/>
      <c r="PKZ1" s="47"/>
      <c r="PLA1" s="47"/>
      <c r="PLB1" s="47"/>
      <c r="PLC1" s="47"/>
      <c r="PLD1" s="47"/>
      <c r="PLE1" s="47"/>
      <c r="PLF1" s="47"/>
      <c r="PLG1" s="47"/>
      <c r="PLH1" s="47"/>
      <c r="PLI1" s="47"/>
      <c r="PLJ1" s="47"/>
      <c r="PLK1" s="47"/>
      <c r="PLL1" s="47"/>
      <c r="PLM1" s="47"/>
      <c r="PLN1" s="47"/>
      <c r="PLO1" s="47"/>
      <c r="PLP1" s="47"/>
      <c r="PLQ1" s="47"/>
      <c r="PLR1" s="47"/>
      <c r="PLS1" s="47"/>
      <c r="PLT1" s="47"/>
      <c r="PLU1" s="47"/>
      <c r="PLV1" s="47"/>
      <c r="PLW1" s="47"/>
      <c r="PLX1" s="47"/>
      <c r="PLY1" s="47"/>
      <c r="PLZ1" s="47"/>
      <c r="PMA1" s="47"/>
      <c r="PMB1" s="47"/>
      <c r="PMC1" s="47"/>
      <c r="PMD1" s="47"/>
      <c r="PME1" s="47"/>
      <c r="PMF1" s="47"/>
      <c r="PMG1" s="47"/>
      <c r="PMH1" s="47"/>
      <c r="PMI1" s="47"/>
      <c r="PMJ1" s="47"/>
      <c r="PMK1" s="47"/>
      <c r="PML1" s="47"/>
      <c r="PMM1" s="47"/>
      <c r="PMN1" s="47"/>
      <c r="PMO1" s="47"/>
      <c r="PMP1" s="47"/>
      <c r="PMQ1" s="47"/>
      <c r="PMR1" s="47"/>
      <c r="PMS1" s="47"/>
      <c r="PMT1" s="47"/>
      <c r="PMU1" s="47"/>
      <c r="PMV1" s="47"/>
      <c r="PMW1" s="47"/>
      <c r="PMX1" s="47"/>
      <c r="PMY1" s="47"/>
      <c r="PMZ1" s="47"/>
      <c r="PNA1" s="47"/>
      <c r="PNB1" s="47"/>
      <c r="PNC1" s="47"/>
      <c r="PND1" s="47"/>
      <c r="PNE1" s="47"/>
      <c r="PNF1" s="47"/>
      <c r="PNG1" s="47"/>
      <c r="PNH1" s="47"/>
      <c r="PNI1" s="47"/>
      <c r="PNJ1" s="47"/>
      <c r="PNK1" s="47"/>
      <c r="PNL1" s="47"/>
      <c r="PNM1" s="47"/>
      <c r="PNN1" s="47"/>
      <c r="PNO1" s="47"/>
      <c r="PNP1" s="47"/>
      <c r="PNQ1" s="47"/>
      <c r="PNR1" s="47"/>
      <c r="PNS1" s="47"/>
      <c r="PNT1" s="47"/>
      <c r="PNU1" s="47"/>
      <c r="PNV1" s="47"/>
      <c r="PNW1" s="47"/>
      <c r="PNX1" s="47"/>
      <c r="PNY1" s="47"/>
      <c r="PNZ1" s="47"/>
      <c r="POA1" s="47"/>
      <c r="POB1" s="47"/>
      <c r="POC1" s="47"/>
      <c r="POD1" s="47"/>
      <c r="POE1" s="47"/>
      <c r="POF1" s="47"/>
      <c r="POG1" s="47"/>
      <c r="POH1" s="47"/>
      <c r="POI1" s="47"/>
      <c r="POJ1" s="47"/>
      <c r="POK1" s="47"/>
      <c r="POL1" s="47"/>
      <c r="POM1" s="47"/>
      <c r="PON1" s="47"/>
      <c r="POO1" s="47"/>
      <c r="POP1" s="47"/>
      <c r="POQ1" s="47"/>
      <c r="POR1" s="47"/>
      <c r="POS1" s="47"/>
      <c r="POT1" s="47"/>
      <c r="POU1" s="47"/>
      <c r="POV1" s="47"/>
      <c r="POW1" s="47"/>
      <c r="POX1" s="47"/>
      <c r="POY1" s="47"/>
      <c r="POZ1" s="47"/>
      <c r="PPA1" s="47"/>
      <c r="PPB1" s="47"/>
      <c r="PPC1" s="47"/>
      <c r="PPD1" s="47"/>
      <c r="PPE1" s="47"/>
      <c r="PPF1" s="47"/>
      <c r="PPG1" s="47"/>
      <c r="PPH1" s="47"/>
      <c r="PPI1" s="47"/>
      <c r="PPJ1" s="47"/>
      <c r="PPK1" s="47"/>
      <c r="PPL1" s="47"/>
      <c r="PPM1" s="47"/>
      <c r="PPN1" s="47"/>
      <c r="PPO1" s="47"/>
      <c r="PPP1" s="47"/>
      <c r="PPQ1" s="47"/>
      <c r="PPR1" s="47"/>
      <c r="PPS1" s="47"/>
      <c r="PPT1" s="47"/>
      <c r="PPU1" s="47"/>
      <c r="PPV1" s="47"/>
      <c r="PPW1" s="47"/>
      <c r="PPX1" s="47"/>
      <c r="PPY1" s="47"/>
      <c r="PPZ1" s="47"/>
      <c r="PQA1" s="47"/>
      <c r="PQB1" s="47"/>
      <c r="PQC1" s="47"/>
      <c r="PQD1" s="47"/>
      <c r="PQE1" s="47"/>
      <c r="PQF1" s="47"/>
      <c r="PQG1" s="47"/>
      <c r="PQH1" s="47"/>
      <c r="PQI1" s="47"/>
      <c r="PQJ1" s="47"/>
      <c r="PQK1" s="47"/>
      <c r="PQL1" s="47"/>
      <c r="PQM1" s="47"/>
      <c r="PQN1" s="47"/>
      <c r="PQO1" s="47"/>
      <c r="PQP1" s="47"/>
      <c r="PQQ1" s="47"/>
      <c r="PQR1" s="47"/>
      <c r="PQS1" s="47"/>
      <c r="PQT1" s="47"/>
      <c r="PQU1" s="47"/>
      <c r="PQV1" s="47"/>
      <c r="PQW1" s="47"/>
      <c r="PQX1" s="47"/>
      <c r="PQY1" s="47"/>
      <c r="PQZ1" s="47"/>
      <c r="PRA1" s="47"/>
      <c r="PRB1" s="47"/>
      <c r="PRC1" s="47"/>
      <c r="PRD1" s="47"/>
      <c r="PRE1" s="47"/>
      <c r="PRF1" s="47"/>
      <c r="PRG1" s="47"/>
      <c r="PRH1" s="47"/>
      <c r="PRI1" s="47"/>
      <c r="PRJ1" s="47"/>
      <c r="PRK1" s="47"/>
      <c r="PRL1" s="47"/>
      <c r="PRM1" s="47"/>
      <c r="PRN1" s="47"/>
      <c r="PRO1" s="47"/>
      <c r="PRP1" s="47"/>
      <c r="PRQ1" s="47"/>
      <c r="PRR1" s="47"/>
      <c r="PRS1" s="47"/>
      <c r="PRT1" s="47"/>
      <c r="PRU1" s="47"/>
      <c r="PRV1" s="47"/>
      <c r="PRW1" s="47"/>
      <c r="PRX1" s="47"/>
      <c r="PRY1" s="47"/>
      <c r="PRZ1" s="47"/>
      <c r="PSA1" s="47"/>
      <c r="PSB1" s="47"/>
      <c r="PSC1" s="47"/>
      <c r="PSD1" s="47"/>
      <c r="PSE1" s="47"/>
      <c r="PSF1" s="47"/>
      <c r="PSG1" s="47"/>
      <c r="PSH1" s="47"/>
      <c r="PSI1" s="47"/>
      <c r="PSJ1" s="47"/>
      <c r="PSK1" s="47"/>
      <c r="PSL1" s="47"/>
      <c r="PSM1" s="47"/>
      <c r="PSN1" s="47"/>
      <c r="PSO1" s="47"/>
      <c r="PSP1" s="47"/>
      <c r="PSQ1" s="47"/>
      <c r="PSR1" s="47"/>
      <c r="PSS1" s="47"/>
      <c r="PST1" s="47"/>
      <c r="PSU1" s="47"/>
      <c r="PSV1" s="47"/>
      <c r="PSW1" s="47"/>
      <c r="PSX1" s="47"/>
      <c r="PSY1" s="47"/>
      <c r="PSZ1" s="47"/>
      <c r="PTA1" s="47"/>
      <c r="PTB1" s="47"/>
      <c r="PTC1" s="47"/>
      <c r="PTD1" s="47"/>
      <c r="PTE1" s="47"/>
      <c r="PTF1" s="47"/>
      <c r="PTG1" s="47"/>
      <c r="PTH1" s="47"/>
      <c r="PTI1" s="47"/>
      <c r="PTJ1" s="47"/>
      <c r="PTK1" s="47"/>
      <c r="PTL1" s="47"/>
      <c r="PTM1" s="47"/>
      <c r="PTN1" s="47"/>
      <c r="PTO1" s="47"/>
      <c r="PTP1" s="47"/>
      <c r="PTQ1" s="47"/>
      <c r="PTR1" s="47"/>
      <c r="PTS1" s="47"/>
      <c r="PTT1" s="47"/>
      <c r="PTU1" s="47"/>
      <c r="PTV1" s="47"/>
      <c r="PTW1" s="47"/>
      <c r="PTX1" s="47"/>
      <c r="PTY1" s="47"/>
      <c r="PTZ1" s="47"/>
      <c r="PUA1" s="47"/>
      <c r="PUB1" s="47"/>
      <c r="PUC1" s="47"/>
      <c r="PUD1" s="47"/>
      <c r="PUE1" s="47"/>
      <c r="PUF1" s="47"/>
      <c r="PUG1" s="47"/>
      <c r="PUH1" s="47"/>
      <c r="PUI1" s="47"/>
      <c r="PUJ1" s="47"/>
      <c r="PUK1" s="47"/>
      <c r="PUL1" s="47"/>
      <c r="PUM1" s="47"/>
      <c r="PUN1" s="47"/>
      <c r="PUO1" s="47"/>
      <c r="PUP1" s="47"/>
      <c r="PUQ1" s="47"/>
      <c r="PUR1" s="47"/>
      <c r="PUS1" s="47"/>
      <c r="PUT1" s="47"/>
      <c r="PUU1" s="47"/>
      <c r="PUV1" s="47"/>
      <c r="PUW1" s="47"/>
      <c r="PUX1" s="47"/>
      <c r="PUY1" s="47"/>
      <c r="PUZ1" s="47"/>
      <c r="PVA1" s="47"/>
      <c r="PVB1" s="47"/>
      <c r="PVC1" s="47"/>
      <c r="PVD1" s="47"/>
      <c r="PVE1" s="47"/>
      <c r="PVF1" s="47"/>
      <c r="PVG1" s="47"/>
      <c r="PVH1" s="47"/>
      <c r="PVI1" s="47"/>
      <c r="PVJ1" s="47"/>
      <c r="PVK1" s="47"/>
      <c r="PVL1" s="47"/>
      <c r="PVM1" s="47"/>
      <c r="PVN1" s="47"/>
      <c r="PVO1" s="47"/>
      <c r="PVP1" s="47"/>
      <c r="PVQ1" s="47"/>
      <c r="PVR1" s="47"/>
      <c r="PVS1" s="47"/>
      <c r="PVT1" s="47"/>
      <c r="PVU1" s="47"/>
      <c r="PVV1" s="47"/>
      <c r="PVW1" s="47"/>
      <c r="PVX1" s="47"/>
      <c r="PVY1" s="47"/>
      <c r="PVZ1" s="47"/>
      <c r="PWA1" s="47"/>
      <c r="PWB1" s="47"/>
      <c r="PWC1" s="47"/>
      <c r="PWD1" s="47"/>
      <c r="PWE1" s="47"/>
      <c r="PWF1" s="47"/>
      <c r="PWG1" s="47"/>
      <c r="PWH1" s="47"/>
      <c r="PWI1" s="47"/>
      <c r="PWJ1" s="47"/>
      <c r="PWK1" s="47"/>
      <c r="PWL1" s="47"/>
      <c r="PWM1" s="47"/>
      <c r="PWN1" s="47"/>
      <c r="PWO1" s="47"/>
      <c r="PWP1" s="47"/>
      <c r="PWQ1" s="47"/>
      <c r="PWR1" s="47"/>
      <c r="PWS1" s="47"/>
      <c r="PWT1" s="47"/>
      <c r="PWU1" s="47"/>
      <c r="PWV1" s="47"/>
      <c r="PWW1" s="47"/>
      <c r="PWX1" s="47"/>
      <c r="PWY1" s="47"/>
      <c r="PWZ1" s="47"/>
      <c r="PXA1" s="47"/>
      <c r="PXB1" s="47"/>
      <c r="PXC1" s="47"/>
      <c r="PXD1" s="47"/>
      <c r="PXE1" s="47"/>
      <c r="PXF1" s="47"/>
      <c r="PXG1" s="47"/>
      <c r="PXH1" s="47"/>
      <c r="PXI1" s="47"/>
      <c r="PXJ1" s="47"/>
      <c r="PXK1" s="47"/>
      <c r="PXL1" s="47"/>
      <c r="PXM1" s="47"/>
      <c r="PXN1" s="47"/>
      <c r="PXO1" s="47"/>
      <c r="PXP1" s="47"/>
      <c r="PXQ1" s="47"/>
      <c r="PXR1" s="47"/>
      <c r="PXS1" s="47"/>
      <c r="PXT1" s="47"/>
      <c r="PXU1" s="47"/>
      <c r="PXV1" s="47"/>
      <c r="PXW1" s="47"/>
      <c r="PXX1" s="47"/>
      <c r="PXY1" s="47"/>
      <c r="PXZ1" s="47"/>
      <c r="PYA1" s="47"/>
      <c r="PYB1" s="47"/>
      <c r="PYC1" s="47"/>
      <c r="PYD1" s="47"/>
      <c r="PYE1" s="47"/>
      <c r="PYF1" s="47"/>
      <c r="PYG1" s="47"/>
      <c r="PYH1" s="47"/>
      <c r="PYI1" s="47"/>
      <c r="PYJ1" s="47"/>
      <c r="PYK1" s="47"/>
      <c r="PYL1" s="47"/>
      <c r="PYM1" s="47"/>
      <c r="PYN1" s="47"/>
      <c r="PYO1" s="47"/>
      <c r="PYP1" s="47"/>
      <c r="PYQ1" s="47"/>
      <c r="PYR1" s="47"/>
      <c r="PYS1" s="47"/>
      <c r="PYT1" s="47"/>
      <c r="PYU1" s="47"/>
      <c r="PYV1" s="47"/>
      <c r="PYW1" s="47"/>
      <c r="PYX1" s="47"/>
      <c r="PYY1" s="47"/>
      <c r="PYZ1" s="47"/>
      <c r="PZA1" s="47"/>
      <c r="PZB1" s="47"/>
      <c r="PZC1" s="47"/>
      <c r="PZD1" s="47"/>
      <c r="PZE1" s="47"/>
      <c r="PZF1" s="47"/>
      <c r="PZG1" s="47"/>
      <c r="PZH1" s="47"/>
      <c r="PZI1" s="47"/>
      <c r="PZJ1" s="47"/>
      <c r="PZK1" s="47"/>
      <c r="PZL1" s="47"/>
      <c r="PZM1" s="47"/>
      <c r="PZN1" s="47"/>
      <c r="PZO1" s="47"/>
      <c r="PZP1" s="47"/>
      <c r="PZQ1" s="47"/>
      <c r="PZR1" s="47"/>
      <c r="PZS1" s="47"/>
      <c r="PZT1" s="47"/>
      <c r="PZU1" s="47"/>
      <c r="PZV1" s="47"/>
      <c r="PZW1" s="47"/>
      <c r="PZX1" s="47"/>
      <c r="PZY1" s="47"/>
      <c r="PZZ1" s="47"/>
      <c r="QAA1" s="47"/>
      <c r="QAB1" s="47"/>
      <c r="QAC1" s="47"/>
      <c r="QAD1" s="47"/>
      <c r="QAE1" s="47"/>
      <c r="QAF1" s="47"/>
      <c r="QAG1" s="47"/>
      <c r="QAH1" s="47"/>
      <c r="QAI1" s="47"/>
      <c r="QAJ1" s="47"/>
      <c r="QAK1" s="47"/>
      <c r="QAL1" s="47"/>
      <c r="QAM1" s="47"/>
      <c r="QAN1" s="47"/>
      <c r="QAO1" s="47"/>
      <c r="QAP1" s="47"/>
      <c r="QAQ1" s="47"/>
      <c r="QAR1" s="47"/>
      <c r="QAS1" s="47"/>
      <c r="QAT1" s="47"/>
      <c r="QAU1" s="47"/>
      <c r="QAV1" s="47"/>
      <c r="QAW1" s="47"/>
      <c r="QAX1" s="47"/>
      <c r="QAY1" s="47"/>
      <c r="QAZ1" s="47"/>
      <c r="QBA1" s="47"/>
      <c r="QBB1" s="47"/>
      <c r="QBC1" s="47"/>
      <c r="QBD1" s="47"/>
      <c r="QBE1" s="47"/>
      <c r="QBF1" s="47"/>
      <c r="QBG1" s="47"/>
      <c r="QBH1" s="47"/>
      <c r="QBI1" s="47"/>
      <c r="QBJ1" s="47"/>
      <c r="QBK1" s="47"/>
      <c r="QBL1" s="47"/>
      <c r="QBM1" s="47"/>
      <c r="QBN1" s="47"/>
      <c r="QBO1" s="47"/>
      <c r="QBP1" s="47"/>
      <c r="QBQ1" s="47"/>
      <c r="QBR1" s="47"/>
      <c r="QBS1" s="47"/>
      <c r="QBT1" s="47"/>
      <c r="QBU1" s="47"/>
      <c r="QBV1" s="47"/>
      <c r="QBW1" s="47"/>
      <c r="QBX1" s="47"/>
      <c r="QBY1" s="47"/>
      <c r="QBZ1" s="47"/>
      <c r="QCA1" s="47"/>
      <c r="QCB1" s="47"/>
      <c r="QCC1" s="47"/>
      <c r="QCD1" s="47"/>
      <c r="QCE1" s="47"/>
      <c r="QCF1" s="47"/>
      <c r="QCG1" s="47"/>
      <c r="QCH1" s="47"/>
      <c r="QCI1" s="47"/>
      <c r="QCJ1" s="47"/>
      <c r="QCK1" s="47"/>
      <c r="QCL1" s="47"/>
      <c r="QCM1" s="47"/>
      <c r="QCN1" s="47"/>
      <c r="QCO1" s="47"/>
      <c r="QCP1" s="47"/>
      <c r="QCQ1" s="47"/>
      <c r="QCR1" s="47"/>
      <c r="QCS1" s="47"/>
      <c r="QCT1" s="47"/>
      <c r="QCU1" s="47"/>
      <c r="QCV1" s="47"/>
      <c r="QCW1" s="47"/>
      <c r="QCX1" s="47"/>
      <c r="QCY1" s="47"/>
      <c r="QCZ1" s="47"/>
      <c r="QDA1" s="47"/>
      <c r="QDB1" s="47"/>
      <c r="QDC1" s="47"/>
      <c r="QDD1" s="47"/>
      <c r="QDE1" s="47"/>
      <c r="QDF1" s="47"/>
      <c r="QDG1" s="47"/>
      <c r="QDH1" s="47"/>
      <c r="QDI1" s="47"/>
      <c r="QDJ1" s="47"/>
      <c r="QDK1" s="47"/>
      <c r="QDL1" s="47"/>
      <c r="QDM1" s="47"/>
      <c r="QDN1" s="47"/>
      <c r="QDO1" s="47"/>
      <c r="QDP1" s="47"/>
      <c r="QDQ1" s="47"/>
      <c r="QDR1" s="47"/>
      <c r="QDS1" s="47"/>
      <c r="QDT1" s="47"/>
      <c r="QDU1" s="47"/>
      <c r="QDV1" s="47"/>
      <c r="QDW1" s="47"/>
      <c r="QDX1" s="47"/>
      <c r="QDY1" s="47"/>
      <c r="QDZ1" s="47"/>
      <c r="QEA1" s="47"/>
      <c r="QEB1" s="47"/>
      <c r="QEC1" s="47"/>
      <c r="QED1" s="47"/>
      <c r="QEE1" s="47"/>
      <c r="QEF1" s="47"/>
      <c r="QEG1" s="47"/>
      <c r="QEH1" s="47"/>
      <c r="QEI1" s="47"/>
      <c r="QEJ1" s="47"/>
      <c r="QEK1" s="47"/>
      <c r="QEL1" s="47"/>
      <c r="QEM1" s="47"/>
      <c r="QEN1" s="47"/>
      <c r="QEO1" s="47"/>
      <c r="QEP1" s="47"/>
      <c r="QEQ1" s="47"/>
      <c r="QER1" s="47"/>
      <c r="QES1" s="47"/>
      <c r="QET1" s="47"/>
      <c r="QEU1" s="47"/>
      <c r="QEV1" s="47"/>
      <c r="QEW1" s="47"/>
      <c r="QEX1" s="47"/>
      <c r="QEY1" s="47"/>
      <c r="QEZ1" s="47"/>
      <c r="QFA1" s="47"/>
      <c r="QFB1" s="47"/>
      <c r="QFC1" s="47"/>
      <c r="QFD1" s="47"/>
      <c r="QFE1" s="47"/>
      <c r="QFF1" s="47"/>
      <c r="QFG1" s="47"/>
      <c r="QFH1" s="47"/>
      <c r="QFI1" s="47"/>
      <c r="QFJ1" s="47"/>
      <c r="QFK1" s="47"/>
      <c r="QFL1" s="47"/>
      <c r="QFM1" s="47"/>
      <c r="QFN1" s="47"/>
      <c r="QFO1" s="47"/>
      <c r="QFP1" s="47"/>
      <c r="QFQ1" s="47"/>
      <c r="QFR1" s="47"/>
      <c r="QFS1" s="47"/>
      <c r="QFT1" s="47"/>
      <c r="QFU1" s="47"/>
      <c r="QFV1" s="47"/>
      <c r="QFW1" s="47"/>
      <c r="QFX1" s="47"/>
      <c r="QFY1" s="47"/>
      <c r="QFZ1" s="47"/>
      <c r="QGA1" s="47"/>
      <c r="QGB1" s="47"/>
      <c r="QGC1" s="47"/>
      <c r="QGD1" s="47"/>
      <c r="QGE1" s="47"/>
      <c r="QGF1" s="47"/>
      <c r="QGG1" s="47"/>
      <c r="QGH1" s="47"/>
      <c r="QGI1" s="47"/>
      <c r="QGJ1" s="47"/>
      <c r="QGK1" s="47"/>
      <c r="QGL1" s="47"/>
      <c r="QGM1" s="47"/>
      <c r="QGN1" s="47"/>
      <c r="QGO1" s="47"/>
      <c r="QGP1" s="47"/>
      <c r="QGQ1" s="47"/>
      <c r="QGR1" s="47"/>
      <c r="QGS1" s="47"/>
      <c r="QGT1" s="47"/>
      <c r="QGU1" s="47"/>
      <c r="QGV1" s="47"/>
      <c r="QGW1" s="47"/>
      <c r="QGX1" s="47"/>
      <c r="QGY1" s="47"/>
      <c r="QGZ1" s="47"/>
      <c r="QHA1" s="47"/>
      <c r="QHB1" s="47"/>
      <c r="QHC1" s="47"/>
      <c r="QHD1" s="47"/>
      <c r="QHE1" s="47"/>
      <c r="QHF1" s="47"/>
      <c r="QHG1" s="47"/>
      <c r="QHH1" s="47"/>
      <c r="QHI1" s="47"/>
      <c r="QHJ1" s="47"/>
      <c r="QHK1" s="47"/>
      <c r="QHL1" s="47"/>
      <c r="QHM1" s="47"/>
      <c r="QHN1" s="47"/>
      <c r="QHO1" s="47"/>
      <c r="QHP1" s="47"/>
      <c r="QHQ1" s="47"/>
      <c r="QHR1" s="47"/>
      <c r="QHS1" s="47"/>
      <c r="QHT1" s="47"/>
      <c r="QHU1" s="47"/>
      <c r="QHV1" s="47"/>
      <c r="QHW1" s="47"/>
      <c r="QHX1" s="47"/>
      <c r="QHY1" s="47"/>
      <c r="QHZ1" s="47"/>
      <c r="QIA1" s="47"/>
      <c r="QIB1" s="47"/>
      <c r="QIC1" s="47"/>
      <c r="QID1" s="47"/>
      <c r="QIE1" s="47"/>
      <c r="QIF1" s="47"/>
      <c r="QIG1" s="47"/>
      <c r="QIH1" s="47"/>
      <c r="QII1" s="47"/>
      <c r="QIJ1" s="47"/>
      <c r="QIK1" s="47"/>
      <c r="QIL1" s="47"/>
      <c r="QIM1" s="47"/>
      <c r="QIN1" s="47"/>
      <c r="QIO1" s="47"/>
      <c r="QIP1" s="47"/>
      <c r="QIQ1" s="47"/>
      <c r="QIR1" s="47"/>
      <c r="QIS1" s="47"/>
      <c r="QIT1" s="47"/>
      <c r="QIU1" s="47"/>
      <c r="QIV1" s="47"/>
      <c r="QIW1" s="47"/>
      <c r="QIX1" s="47"/>
      <c r="QIY1" s="47"/>
      <c r="QIZ1" s="47"/>
      <c r="QJA1" s="47"/>
      <c r="QJB1" s="47"/>
      <c r="QJC1" s="47"/>
      <c r="QJD1" s="47"/>
      <c r="QJE1" s="47"/>
      <c r="QJF1" s="47"/>
      <c r="QJG1" s="47"/>
      <c r="QJH1" s="47"/>
      <c r="QJI1" s="47"/>
      <c r="QJJ1" s="47"/>
      <c r="QJK1" s="47"/>
      <c r="QJL1" s="47"/>
      <c r="QJM1" s="47"/>
      <c r="QJN1" s="47"/>
      <c r="QJO1" s="47"/>
      <c r="QJP1" s="47"/>
      <c r="QJQ1" s="47"/>
      <c r="QJR1" s="47"/>
      <c r="QJS1" s="47"/>
      <c r="QJT1" s="47"/>
      <c r="QJU1" s="47"/>
      <c r="QJV1" s="47"/>
      <c r="QJW1" s="47"/>
      <c r="QJX1" s="47"/>
      <c r="QJY1" s="47"/>
      <c r="QJZ1" s="47"/>
      <c r="QKA1" s="47"/>
      <c r="QKB1" s="47"/>
      <c r="QKC1" s="47"/>
      <c r="QKD1" s="47"/>
      <c r="QKE1" s="47"/>
      <c r="QKF1" s="47"/>
      <c r="QKG1" s="47"/>
      <c r="QKH1" s="47"/>
      <c r="QKI1" s="47"/>
      <c r="QKJ1" s="47"/>
      <c r="QKK1" s="47"/>
      <c r="QKL1" s="47"/>
      <c r="QKM1" s="47"/>
      <c r="QKN1" s="47"/>
      <c r="QKO1" s="47"/>
      <c r="QKP1" s="47"/>
      <c r="QKQ1" s="47"/>
      <c r="QKR1" s="47"/>
      <c r="QKS1" s="47"/>
      <c r="QKT1" s="47"/>
      <c r="QKU1" s="47"/>
      <c r="QKV1" s="47"/>
      <c r="QKW1" s="47"/>
      <c r="QKX1" s="47"/>
      <c r="QKY1" s="47"/>
      <c r="QKZ1" s="47"/>
      <c r="QLA1" s="47"/>
      <c r="QLB1" s="47"/>
      <c r="QLC1" s="47"/>
      <c r="QLD1" s="47"/>
      <c r="QLE1" s="47"/>
      <c r="QLF1" s="47"/>
      <c r="QLG1" s="47"/>
      <c r="QLH1" s="47"/>
      <c r="QLI1" s="47"/>
      <c r="QLJ1" s="47"/>
      <c r="QLK1" s="47"/>
      <c r="QLL1" s="47"/>
      <c r="QLM1" s="47"/>
      <c r="QLN1" s="47"/>
      <c r="QLO1" s="47"/>
      <c r="QLP1" s="47"/>
      <c r="QLQ1" s="47"/>
      <c r="QLR1" s="47"/>
      <c r="QLS1" s="47"/>
      <c r="QLT1" s="47"/>
      <c r="QLU1" s="47"/>
      <c r="QLV1" s="47"/>
      <c r="QLW1" s="47"/>
      <c r="QLX1" s="47"/>
      <c r="QLY1" s="47"/>
      <c r="QLZ1" s="47"/>
      <c r="QMA1" s="47"/>
      <c r="QMB1" s="47"/>
      <c r="QMC1" s="47"/>
      <c r="QMD1" s="47"/>
      <c r="QME1" s="47"/>
      <c r="QMF1" s="47"/>
      <c r="QMG1" s="47"/>
      <c r="QMH1" s="47"/>
      <c r="QMI1" s="47"/>
      <c r="QMJ1" s="47"/>
      <c r="QMK1" s="47"/>
      <c r="QML1" s="47"/>
      <c r="QMM1" s="47"/>
      <c r="QMN1" s="47"/>
      <c r="QMO1" s="47"/>
      <c r="QMP1" s="47"/>
      <c r="QMQ1" s="47"/>
      <c r="QMR1" s="47"/>
      <c r="QMS1" s="47"/>
      <c r="QMT1" s="47"/>
      <c r="QMU1" s="47"/>
      <c r="QMV1" s="47"/>
      <c r="QMW1" s="47"/>
      <c r="QMX1" s="47"/>
      <c r="QMY1" s="47"/>
      <c r="QMZ1" s="47"/>
      <c r="QNA1" s="47"/>
      <c r="QNB1" s="47"/>
      <c r="QNC1" s="47"/>
      <c r="QND1" s="47"/>
      <c r="QNE1" s="47"/>
      <c r="QNF1" s="47"/>
      <c r="QNG1" s="47"/>
      <c r="QNH1" s="47"/>
      <c r="QNI1" s="47"/>
      <c r="QNJ1" s="47"/>
      <c r="QNK1" s="47"/>
      <c r="QNL1" s="47"/>
      <c r="QNM1" s="47"/>
      <c r="QNN1" s="47"/>
      <c r="QNO1" s="47"/>
      <c r="QNP1" s="47"/>
      <c r="QNQ1" s="47"/>
      <c r="QNR1" s="47"/>
      <c r="QNS1" s="47"/>
      <c r="QNT1" s="47"/>
      <c r="QNU1" s="47"/>
      <c r="QNV1" s="47"/>
      <c r="QNW1" s="47"/>
      <c r="QNX1" s="47"/>
      <c r="QNY1" s="47"/>
      <c r="QNZ1" s="47"/>
      <c r="QOA1" s="47"/>
      <c r="QOB1" s="47"/>
      <c r="QOC1" s="47"/>
      <c r="QOD1" s="47"/>
      <c r="QOE1" s="47"/>
      <c r="QOF1" s="47"/>
      <c r="QOG1" s="47"/>
      <c r="QOH1" s="47"/>
      <c r="QOI1" s="47"/>
      <c r="QOJ1" s="47"/>
      <c r="QOK1" s="47"/>
      <c r="QOL1" s="47"/>
      <c r="QOM1" s="47"/>
      <c r="QON1" s="47"/>
      <c r="QOO1" s="47"/>
      <c r="QOP1" s="47"/>
      <c r="QOQ1" s="47"/>
      <c r="QOR1" s="47"/>
      <c r="QOS1" s="47"/>
      <c r="QOT1" s="47"/>
      <c r="QOU1" s="47"/>
      <c r="QOV1" s="47"/>
      <c r="QOW1" s="47"/>
      <c r="QOX1" s="47"/>
      <c r="QOY1" s="47"/>
      <c r="QOZ1" s="47"/>
      <c r="QPA1" s="47"/>
      <c r="QPB1" s="47"/>
      <c r="QPC1" s="47"/>
      <c r="QPD1" s="47"/>
      <c r="QPE1" s="47"/>
      <c r="QPF1" s="47"/>
      <c r="QPG1" s="47"/>
      <c r="QPH1" s="47"/>
      <c r="QPI1" s="47"/>
      <c r="QPJ1" s="47"/>
      <c r="QPK1" s="47"/>
      <c r="QPL1" s="47"/>
      <c r="QPM1" s="47"/>
      <c r="QPN1" s="47"/>
      <c r="QPO1" s="47"/>
      <c r="QPP1" s="47"/>
      <c r="QPQ1" s="47"/>
      <c r="QPR1" s="47"/>
      <c r="QPS1" s="47"/>
      <c r="QPT1" s="47"/>
      <c r="QPU1" s="47"/>
      <c r="QPV1" s="47"/>
      <c r="QPW1" s="47"/>
      <c r="QPX1" s="47"/>
      <c r="QPY1" s="47"/>
      <c r="QPZ1" s="47"/>
      <c r="QQA1" s="47"/>
      <c r="QQB1" s="47"/>
      <c r="QQC1" s="47"/>
      <c r="QQD1" s="47"/>
      <c r="QQE1" s="47"/>
      <c r="QQF1" s="47"/>
      <c r="QQG1" s="47"/>
      <c r="QQH1" s="47"/>
      <c r="QQI1" s="47"/>
      <c r="QQJ1" s="47"/>
      <c r="QQK1" s="47"/>
      <c r="QQL1" s="47"/>
      <c r="QQM1" s="47"/>
      <c r="QQN1" s="47"/>
      <c r="QQO1" s="47"/>
      <c r="QQP1" s="47"/>
      <c r="QQQ1" s="47"/>
      <c r="QQR1" s="47"/>
      <c r="QQS1" s="47"/>
      <c r="QQT1" s="47"/>
      <c r="QQU1" s="47"/>
      <c r="QQV1" s="47"/>
      <c r="QQW1" s="47"/>
      <c r="QQX1" s="47"/>
      <c r="QQY1" s="47"/>
      <c r="QQZ1" s="47"/>
      <c r="QRA1" s="47"/>
      <c r="QRB1" s="47"/>
      <c r="QRC1" s="47"/>
      <c r="QRD1" s="47"/>
      <c r="QRE1" s="47"/>
      <c r="QRF1" s="47"/>
      <c r="QRG1" s="47"/>
      <c r="QRH1" s="47"/>
      <c r="QRI1" s="47"/>
      <c r="QRJ1" s="47"/>
      <c r="QRK1" s="47"/>
      <c r="QRL1" s="47"/>
      <c r="QRM1" s="47"/>
      <c r="QRN1" s="47"/>
      <c r="QRO1" s="47"/>
      <c r="QRP1" s="47"/>
      <c r="QRQ1" s="47"/>
      <c r="QRR1" s="47"/>
      <c r="QRS1" s="47"/>
      <c r="QRT1" s="47"/>
      <c r="QRU1" s="47"/>
      <c r="QRV1" s="47"/>
      <c r="QRW1" s="47"/>
      <c r="QRX1" s="47"/>
      <c r="QRY1" s="47"/>
      <c r="QRZ1" s="47"/>
      <c r="QSA1" s="47"/>
      <c r="QSB1" s="47"/>
      <c r="QSC1" s="47"/>
      <c r="QSD1" s="47"/>
      <c r="QSE1" s="47"/>
      <c r="QSF1" s="47"/>
      <c r="QSG1" s="47"/>
      <c r="QSH1" s="47"/>
      <c r="QSI1" s="47"/>
      <c r="QSJ1" s="47"/>
      <c r="QSK1" s="47"/>
      <c r="QSL1" s="47"/>
      <c r="QSM1" s="47"/>
      <c r="QSN1" s="47"/>
      <c r="QSO1" s="47"/>
      <c r="QSP1" s="47"/>
      <c r="QSQ1" s="47"/>
      <c r="QSR1" s="47"/>
      <c r="QSS1" s="47"/>
      <c r="QST1" s="47"/>
      <c r="QSU1" s="47"/>
      <c r="QSV1" s="47"/>
      <c r="QSW1" s="47"/>
      <c r="QSX1" s="47"/>
      <c r="QSY1" s="47"/>
      <c r="QSZ1" s="47"/>
      <c r="QTA1" s="47"/>
      <c r="QTB1" s="47"/>
      <c r="QTC1" s="47"/>
      <c r="QTD1" s="47"/>
      <c r="QTE1" s="47"/>
      <c r="QTF1" s="47"/>
      <c r="QTG1" s="47"/>
      <c r="QTH1" s="47"/>
      <c r="QTI1" s="47"/>
      <c r="QTJ1" s="47"/>
      <c r="QTK1" s="47"/>
      <c r="QTL1" s="47"/>
      <c r="QTM1" s="47"/>
      <c r="QTN1" s="47"/>
      <c r="QTO1" s="47"/>
      <c r="QTP1" s="47"/>
      <c r="QTQ1" s="47"/>
      <c r="QTR1" s="47"/>
      <c r="QTS1" s="47"/>
      <c r="QTT1" s="47"/>
      <c r="QTU1" s="47"/>
      <c r="QTV1" s="47"/>
      <c r="QTW1" s="47"/>
      <c r="QTX1" s="47"/>
      <c r="QTY1" s="47"/>
      <c r="QTZ1" s="47"/>
      <c r="QUA1" s="47"/>
      <c r="QUB1" s="47"/>
      <c r="QUC1" s="47"/>
      <c r="QUD1" s="47"/>
      <c r="QUE1" s="47"/>
      <c r="QUF1" s="47"/>
      <c r="QUG1" s="47"/>
      <c r="QUH1" s="47"/>
      <c r="QUI1" s="47"/>
      <c r="QUJ1" s="47"/>
      <c r="QUK1" s="47"/>
      <c r="QUL1" s="47"/>
      <c r="QUM1" s="47"/>
      <c r="QUN1" s="47"/>
      <c r="QUO1" s="47"/>
      <c r="QUP1" s="47"/>
      <c r="QUQ1" s="47"/>
      <c r="QUR1" s="47"/>
      <c r="QUS1" s="47"/>
      <c r="QUT1" s="47"/>
      <c r="QUU1" s="47"/>
      <c r="QUV1" s="47"/>
      <c r="QUW1" s="47"/>
      <c r="QUX1" s="47"/>
      <c r="QUY1" s="47"/>
      <c r="QUZ1" s="47"/>
      <c r="QVA1" s="47"/>
      <c r="QVB1" s="47"/>
      <c r="QVC1" s="47"/>
      <c r="QVD1" s="47"/>
      <c r="QVE1" s="47"/>
      <c r="QVF1" s="47"/>
      <c r="QVG1" s="47"/>
      <c r="QVH1" s="47"/>
      <c r="QVI1" s="47"/>
      <c r="QVJ1" s="47"/>
      <c r="QVK1" s="47"/>
      <c r="QVL1" s="47"/>
      <c r="QVM1" s="47"/>
      <c r="QVN1" s="47"/>
      <c r="QVO1" s="47"/>
      <c r="QVP1" s="47"/>
      <c r="QVQ1" s="47"/>
      <c r="QVR1" s="47"/>
      <c r="QVS1" s="47"/>
      <c r="QVT1" s="47"/>
      <c r="QVU1" s="47"/>
      <c r="QVV1" s="47"/>
      <c r="QVW1" s="47"/>
      <c r="QVX1" s="47"/>
      <c r="QVY1" s="47"/>
      <c r="QVZ1" s="47"/>
      <c r="QWA1" s="47"/>
      <c r="QWB1" s="47"/>
      <c r="QWC1" s="47"/>
      <c r="QWD1" s="47"/>
      <c r="QWE1" s="47"/>
      <c r="QWF1" s="47"/>
      <c r="QWG1" s="47"/>
      <c r="QWH1" s="47"/>
      <c r="QWI1" s="47"/>
      <c r="QWJ1" s="47"/>
      <c r="QWK1" s="47"/>
      <c r="QWL1" s="47"/>
      <c r="QWM1" s="47"/>
      <c r="QWN1" s="47"/>
      <c r="QWO1" s="47"/>
      <c r="QWP1" s="47"/>
      <c r="QWQ1" s="47"/>
      <c r="QWR1" s="47"/>
      <c r="QWS1" s="47"/>
      <c r="QWT1" s="47"/>
      <c r="QWU1" s="47"/>
      <c r="QWV1" s="47"/>
      <c r="QWW1" s="47"/>
      <c r="QWX1" s="47"/>
      <c r="QWY1" s="47"/>
      <c r="QWZ1" s="47"/>
      <c r="QXA1" s="47"/>
      <c r="QXB1" s="47"/>
      <c r="QXC1" s="47"/>
      <c r="QXD1" s="47"/>
      <c r="QXE1" s="47"/>
      <c r="QXF1" s="47"/>
      <c r="QXG1" s="47"/>
      <c r="QXH1" s="47"/>
      <c r="QXI1" s="47"/>
      <c r="QXJ1" s="47"/>
      <c r="QXK1" s="47"/>
      <c r="QXL1" s="47"/>
      <c r="QXM1" s="47"/>
      <c r="QXN1" s="47"/>
      <c r="QXO1" s="47"/>
      <c r="QXP1" s="47"/>
      <c r="QXQ1" s="47"/>
      <c r="QXR1" s="47"/>
      <c r="QXS1" s="47"/>
      <c r="QXT1" s="47"/>
      <c r="QXU1" s="47"/>
      <c r="QXV1" s="47"/>
      <c r="QXW1" s="47"/>
      <c r="QXX1" s="47"/>
      <c r="QXY1" s="47"/>
      <c r="QXZ1" s="47"/>
      <c r="QYA1" s="47"/>
      <c r="QYB1" s="47"/>
      <c r="QYC1" s="47"/>
      <c r="QYD1" s="47"/>
      <c r="QYE1" s="47"/>
      <c r="QYF1" s="47"/>
      <c r="QYG1" s="47"/>
      <c r="QYH1" s="47"/>
      <c r="QYI1" s="47"/>
      <c r="QYJ1" s="47"/>
      <c r="QYK1" s="47"/>
      <c r="QYL1" s="47"/>
      <c r="QYM1" s="47"/>
      <c r="QYN1" s="47"/>
      <c r="QYO1" s="47"/>
      <c r="QYP1" s="47"/>
      <c r="QYQ1" s="47"/>
      <c r="QYR1" s="47"/>
      <c r="QYS1" s="47"/>
      <c r="QYT1" s="47"/>
      <c r="QYU1" s="47"/>
      <c r="QYV1" s="47"/>
      <c r="QYW1" s="47"/>
      <c r="QYX1" s="47"/>
      <c r="QYY1" s="47"/>
      <c r="QYZ1" s="47"/>
      <c r="QZA1" s="47"/>
      <c r="QZB1" s="47"/>
      <c r="QZC1" s="47"/>
      <c r="QZD1" s="47"/>
      <c r="QZE1" s="47"/>
      <c r="QZF1" s="47"/>
      <c r="QZG1" s="47"/>
      <c r="QZH1" s="47"/>
      <c r="QZI1" s="47"/>
      <c r="QZJ1" s="47"/>
      <c r="QZK1" s="47"/>
      <c r="QZL1" s="47"/>
      <c r="QZM1" s="47"/>
      <c r="QZN1" s="47"/>
      <c r="QZO1" s="47"/>
      <c r="QZP1" s="47"/>
      <c r="QZQ1" s="47"/>
      <c r="QZR1" s="47"/>
      <c r="QZS1" s="47"/>
      <c r="QZT1" s="47"/>
      <c r="QZU1" s="47"/>
      <c r="QZV1" s="47"/>
      <c r="QZW1" s="47"/>
      <c r="QZX1" s="47"/>
      <c r="QZY1" s="47"/>
      <c r="QZZ1" s="47"/>
      <c r="RAA1" s="47"/>
      <c r="RAB1" s="47"/>
      <c r="RAC1" s="47"/>
      <c r="RAD1" s="47"/>
      <c r="RAE1" s="47"/>
      <c r="RAF1" s="47"/>
      <c r="RAG1" s="47"/>
      <c r="RAH1" s="47"/>
      <c r="RAI1" s="47"/>
      <c r="RAJ1" s="47"/>
      <c r="RAK1" s="47"/>
      <c r="RAL1" s="47"/>
      <c r="RAM1" s="47"/>
      <c r="RAN1" s="47"/>
      <c r="RAO1" s="47"/>
      <c r="RAP1" s="47"/>
      <c r="RAQ1" s="47"/>
      <c r="RAR1" s="47"/>
      <c r="RAS1" s="47"/>
      <c r="RAT1" s="47"/>
      <c r="RAU1" s="47"/>
      <c r="RAV1" s="47"/>
      <c r="RAW1" s="47"/>
      <c r="RAX1" s="47"/>
      <c r="RAY1" s="47"/>
      <c r="RAZ1" s="47"/>
      <c r="RBA1" s="47"/>
      <c r="RBB1" s="47"/>
      <c r="RBC1" s="47"/>
      <c r="RBD1" s="47"/>
      <c r="RBE1" s="47"/>
      <c r="RBF1" s="47"/>
      <c r="RBG1" s="47"/>
      <c r="RBH1" s="47"/>
      <c r="RBI1" s="47"/>
      <c r="RBJ1" s="47"/>
      <c r="RBK1" s="47"/>
      <c r="RBL1" s="47"/>
      <c r="RBM1" s="47"/>
      <c r="RBN1" s="47"/>
      <c r="RBO1" s="47"/>
      <c r="RBP1" s="47"/>
      <c r="RBQ1" s="47"/>
      <c r="RBR1" s="47"/>
      <c r="RBS1" s="47"/>
      <c r="RBT1" s="47"/>
      <c r="RBU1" s="47"/>
      <c r="RBV1" s="47"/>
      <c r="RBW1" s="47"/>
      <c r="RBX1" s="47"/>
      <c r="RBY1" s="47"/>
      <c r="RBZ1" s="47"/>
      <c r="RCA1" s="47"/>
      <c r="RCB1" s="47"/>
      <c r="RCC1" s="47"/>
      <c r="RCD1" s="47"/>
      <c r="RCE1" s="47"/>
      <c r="RCF1" s="47"/>
      <c r="RCG1" s="47"/>
      <c r="RCH1" s="47"/>
      <c r="RCI1" s="47"/>
      <c r="RCJ1" s="47"/>
      <c r="RCK1" s="47"/>
      <c r="RCL1" s="47"/>
      <c r="RCM1" s="47"/>
      <c r="RCN1" s="47"/>
      <c r="RCO1" s="47"/>
      <c r="RCP1" s="47"/>
      <c r="RCQ1" s="47"/>
      <c r="RCR1" s="47"/>
      <c r="RCS1" s="47"/>
      <c r="RCT1" s="47"/>
      <c r="RCU1" s="47"/>
      <c r="RCV1" s="47"/>
      <c r="RCW1" s="47"/>
      <c r="RCX1" s="47"/>
      <c r="RCY1" s="47"/>
      <c r="RCZ1" s="47"/>
      <c r="RDA1" s="47"/>
      <c r="RDB1" s="47"/>
      <c r="RDC1" s="47"/>
      <c r="RDD1" s="47"/>
      <c r="RDE1" s="47"/>
      <c r="RDF1" s="47"/>
      <c r="RDG1" s="47"/>
      <c r="RDH1" s="47"/>
      <c r="RDI1" s="47"/>
      <c r="RDJ1" s="47"/>
      <c r="RDK1" s="47"/>
      <c r="RDL1" s="47"/>
      <c r="RDM1" s="47"/>
      <c r="RDN1" s="47"/>
      <c r="RDO1" s="47"/>
      <c r="RDP1" s="47"/>
      <c r="RDQ1" s="47"/>
      <c r="RDR1" s="47"/>
      <c r="RDS1" s="47"/>
      <c r="RDT1" s="47"/>
      <c r="RDU1" s="47"/>
      <c r="RDV1" s="47"/>
      <c r="RDW1" s="47"/>
      <c r="RDX1" s="47"/>
      <c r="RDY1" s="47"/>
      <c r="RDZ1" s="47"/>
      <c r="REA1" s="47"/>
      <c r="REB1" s="47"/>
      <c r="REC1" s="47"/>
      <c r="RED1" s="47"/>
      <c r="REE1" s="47"/>
      <c r="REF1" s="47"/>
      <c r="REG1" s="47"/>
      <c r="REH1" s="47"/>
      <c r="REI1" s="47"/>
      <c r="REJ1" s="47"/>
      <c r="REK1" s="47"/>
      <c r="REL1" s="47"/>
      <c r="REM1" s="47"/>
      <c r="REN1" s="47"/>
      <c r="REO1" s="47"/>
      <c r="REP1" s="47"/>
      <c r="REQ1" s="47"/>
      <c r="RER1" s="47"/>
      <c r="RES1" s="47"/>
      <c r="RET1" s="47"/>
      <c r="REU1" s="47"/>
      <c r="REV1" s="47"/>
      <c r="REW1" s="47"/>
      <c r="REX1" s="47"/>
      <c r="REY1" s="47"/>
      <c r="REZ1" s="47"/>
      <c r="RFA1" s="47"/>
      <c r="RFB1" s="47"/>
      <c r="RFC1" s="47"/>
      <c r="RFD1" s="47"/>
      <c r="RFE1" s="47"/>
      <c r="RFF1" s="47"/>
      <c r="RFG1" s="47"/>
      <c r="RFH1" s="47"/>
      <c r="RFI1" s="47"/>
      <c r="RFJ1" s="47"/>
      <c r="RFK1" s="47"/>
      <c r="RFL1" s="47"/>
      <c r="RFM1" s="47"/>
      <c r="RFN1" s="47"/>
      <c r="RFO1" s="47"/>
      <c r="RFP1" s="47"/>
      <c r="RFQ1" s="47"/>
      <c r="RFR1" s="47"/>
      <c r="RFS1" s="47"/>
      <c r="RFT1" s="47"/>
      <c r="RFU1" s="47"/>
      <c r="RFV1" s="47"/>
      <c r="RFW1" s="47"/>
      <c r="RFX1" s="47"/>
      <c r="RFY1" s="47"/>
      <c r="RFZ1" s="47"/>
      <c r="RGA1" s="47"/>
      <c r="RGB1" s="47"/>
      <c r="RGC1" s="47"/>
      <c r="RGD1" s="47"/>
      <c r="RGE1" s="47"/>
      <c r="RGF1" s="47"/>
      <c r="RGG1" s="47"/>
      <c r="RGH1" s="47"/>
      <c r="RGI1" s="47"/>
      <c r="RGJ1" s="47"/>
      <c r="RGK1" s="47"/>
      <c r="RGL1" s="47"/>
      <c r="RGM1" s="47"/>
      <c r="RGN1" s="47"/>
      <c r="RGO1" s="47"/>
      <c r="RGP1" s="47"/>
      <c r="RGQ1" s="47"/>
      <c r="RGR1" s="47"/>
      <c r="RGS1" s="47"/>
      <c r="RGT1" s="47"/>
      <c r="RGU1" s="47"/>
      <c r="RGV1" s="47"/>
      <c r="RGW1" s="47"/>
      <c r="RGX1" s="47"/>
      <c r="RGY1" s="47"/>
      <c r="RGZ1" s="47"/>
      <c r="RHA1" s="47"/>
      <c r="RHB1" s="47"/>
      <c r="RHC1" s="47"/>
      <c r="RHD1" s="47"/>
      <c r="RHE1" s="47"/>
      <c r="RHF1" s="47"/>
      <c r="RHG1" s="47"/>
      <c r="RHH1" s="47"/>
      <c r="RHI1" s="47"/>
      <c r="RHJ1" s="47"/>
      <c r="RHK1" s="47"/>
      <c r="RHL1" s="47"/>
      <c r="RHM1" s="47"/>
      <c r="RHN1" s="47"/>
      <c r="RHO1" s="47"/>
      <c r="RHP1" s="47"/>
      <c r="RHQ1" s="47"/>
      <c r="RHR1" s="47"/>
      <c r="RHS1" s="47"/>
      <c r="RHT1" s="47"/>
      <c r="RHU1" s="47"/>
      <c r="RHV1" s="47"/>
      <c r="RHW1" s="47"/>
      <c r="RHX1" s="47"/>
      <c r="RHY1" s="47"/>
      <c r="RHZ1" s="47"/>
      <c r="RIA1" s="47"/>
      <c r="RIB1" s="47"/>
      <c r="RIC1" s="47"/>
      <c r="RID1" s="47"/>
      <c r="RIE1" s="47"/>
      <c r="RIF1" s="47"/>
      <c r="RIG1" s="47"/>
      <c r="RIH1" s="47"/>
      <c r="RII1" s="47"/>
      <c r="RIJ1" s="47"/>
      <c r="RIK1" s="47"/>
      <c r="RIL1" s="47"/>
      <c r="RIM1" s="47"/>
      <c r="RIN1" s="47"/>
      <c r="RIO1" s="47"/>
      <c r="RIP1" s="47"/>
      <c r="RIQ1" s="47"/>
      <c r="RIR1" s="47"/>
      <c r="RIS1" s="47"/>
      <c r="RIT1" s="47"/>
      <c r="RIU1" s="47"/>
      <c r="RIV1" s="47"/>
      <c r="RIW1" s="47"/>
      <c r="RIX1" s="47"/>
      <c r="RIY1" s="47"/>
      <c r="RIZ1" s="47"/>
      <c r="RJA1" s="47"/>
      <c r="RJB1" s="47"/>
      <c r="RJC1" s="47"/>
      <c r="RJD1" s="47"/>
      <c r="RJE1" s="47"/>
      <c r="RJF1" s="47"/>
      <c r="RJG1" s="47"/>
      <c r="RJH1" s="47"/>
      <c r="RJI1" s="47"/>
      <c r="RJJ1" s="47"/>
      <c r="RJK1" s="47"/>
      <c r="RJL1" s="47"/>
      <c r="RJM1" s="47"/>
      <c r="RJN1" s="47"/>
      <c r="RJO1" s="47"/>
      <c r="RJP1" s="47"/>
      <c r="RJQ1" s="47"/>
      <c r="RJR1" s="47"/>
      <c r="RJS1" s="47"/>
      <c r="RJT1" s="47"/>
      <c r="RJU1" s="47"/>
      <c r="RJV1" s="47"/>
      <c r="RJW1" s="47"/>
      <c r="RJX1" s="47"/>
      <c r="RJY1" s="47"/>
      <c r="RJZ1" s="47"/>
      <c r="RKA1" s="47"/>
      <c r="RKB1" s="47"/>
      <c r="RKC1" s="47"/>
      <c r="RKD1" s="47"/>
      <c r="RKE1" s="47"/>
      <c r="RKF1" s="47"/>
      <c r="RKG1" s="47"/>
      <c r="RKH1" s="47"/>
      <c r="RKI1" s="47"/>
      <c r="RKJ1" s="47"/>
      <c r="RKK1" s="47"/>
      <c r="RKL1" s="47"/>
      <c r="RKM1" s="47"/>
      <c r="RKN1" s="47"/>
      <c r="RKO1" s="47"/>
      <c r="RKP1" s="47"/>
      <c r="RKQ1" s="47"/>
      <c r="RKR1" s="47"/>
      <c r="RKS1" s="47"/>
      <c r="RKT1" s="47"/>
      <c r="RKU1" s="47"/>
      <c r="RKV1" s="47"/>
      <c r="RKW1" s="47"/>
      <c r="RKX1" s="47"/>
      <c r="RKY1" s="47"/>
      <c r="RKZ1" s="47"/>
      <c r="RLA1" s="47"/>
      <c r="RLB1" s="47"/>
      <c r="RLC1" s="47"/>
      <c r="RLD1" s="47"/>
      <c r="RLE1" s="47"/>
      <c r="RLF1" s="47"/>
      <c r="RLG1" s="47"/>
      <c r="RLH1" s="47"/>
      <c r="RLI1" s="47"/>
      <c r="RLJ1" s="47"/>
      <c r="RLK1" s="47"/>
      <c r="RLL1" s="47"/>
      <c r="RLM1" s="47"/>
      <c r="RLN1" s="47"/>
      <c r="RLO1" s="47"/>
      <c r="RLP1" s="47"/>
      <c r="RLQ1" s="47"/>
      <c r="RLR1" s="47"/>
      <c r="RLS1" s="47"/>
      <c r="RLT1" s="47"/>
      <c r="RLU1" s="47"/>
      <c r="RLV1" s="47"/>
      <c r="RLW1" s="47"/>
      <c r="RLX1" s="47"/>
      <c r="RLY1" s="47"/>
      <c r="RLZ1" s="47"/>
      <c r="RMA1" s="47"/>
      <c r="RMB1" s="47"/>
      <c r="RMC1" s="47"/>
      <c r="RMD1" s="47"/>
      <c r="RME1" s="47"/>
      <c r="RMF1" s="47"/>
      <c r="RMG1" s="47"/>
      <c r="RMH1" s="47"/>
      <c r="RMI1" s="47"/>
      <c r="RMJ1" s="47"/>
      <c r="RMK1" s="47"/>
      <c r="RML1" s="47"/>
      <c r="RMM1" s="47"/>
      <c r="RMN1" s="47"/>
      <c r="RMO1" s="47"/>
      <c r="RMP1" s="47"/>
      <c r="RMQ1" s="47"/>
      <c r="RMR1" s="47"/>
      <c r="RMS1" s="47"/>
      <c r="RMT1" s="47"/>
      <c r="RMU1" s="47"/>
      <c r="RMV1" s="47"/>
      <c r="RMW1" s="47"/>
      <c r="RMX1" s="47"/>
      <c r="RMY1" s="47"/>
      <c r="RMZ1" s="47"/>
      <c r="RNA1" s="47"/>
      <c r="RNB1" s="47"/>
      <c r="RNC1" s="47"/>
      <c r="RND1" s="47"/>
      <c r="RNE1" s="47"/>
      <c r="RNF1" s="47"/>
      <c r="RNG1" s="47"/>
      <c r="RNH1" s="47"/>
      <c r="RNI1" s="47"/>
      <c r="RNJ1" s="47"/>
      <c r="RNK1" s="47"/>
      <c r="RNL1" s="47"/>
      <c r="RNM1" s="47"/>
      <c r="RNN1" s="47"/>
      <c r="RNO1" s="47"/>
      <c r="RNP1" s="47"/>
      <c r="RNQ1" s="47"/>
      <c r="RNR1" s="47"/>
      <c r="RNS1" s="47"/>
      <c r="RNT1" s="47"/>
      <c r="RNU1" s="47"/>
      <c r="RNV1" s="47"/>
      <c r="RNW1" s="47"/>
      <c r="RNX1" s="47"/>
      <c r="RNY1" s="47"/>
      <c r="RNZ1" s="47"/>
      <c r="ROA1" s="47"/>
      <c r="ROB1" s="47"/>
      <c r="ROC1" s="47"/>
      <c r="ROD1" s="47"/>
      <c r="ROE1" s="47"/>
      <c r="ROF1" s="47"/>
      <c r="ROG1" s="47"/>
      <c r="ROH1" s="47"/>
      <c r="ROI1" s="47"/>
      <c r="ROJ1" s="47"/>
      <c r="ROK1" s="47"/>
      <c r="ROL1" s="47"/>
      <c r="ROM1" s="47"/>
      <c r="RON1" s="47"/>
      <c r="ROO1" s="47"/>
      <c r="ROP1" s="47"/>
      <c r="ROQ1" s="47"/>
      <c r="ROR1" s="47"/>
      <c r="ROS1" s="47"/>
      <c r="ROT1" s="47"/>
      <c r="ROU1" s="47"/>
      <c r="ROV1" s="47"/>
      <c r="ROW1" s="47"/>
      <c r="ROX1" s="47"/>
      <c r="ROY1" s="47"/>
      <c r="ROZ1" s="47"/>
      <c r="RPA1" s="47"/>
      <c r="RPB1" s="47"/>
      <c r="RPC1" s="47"/>
      <c r="RPD1" s="47"/>
      <c r="RPE1" s="47"/>
      <c r="RPF1" s="47"/>
      <c r="RPG1" s="47"/>
      <c r="RPH1" s="47"/>
      <c r="RPI1" s="47"/>
      <c r="RPJ1" s="47"/>
      <c r="RPK1" s="47"/>
      <c r="RPL1" s="47"/>
      <c r="RPM1" s="47"/>
      <c r="RPN1" s="47"/>
      <c r="RPO1" s="47"/>
      <c r="RPP1" s="47"/>
      <c r="RPQ1" s="47"/>
      <c r="RPR1" s="47"/>
      <c r="RPS1" s="47"/>
      <c r="RPT1" s="47"/>
      <c r="RPU1" s="47"/>
      <c r="RPV1" s="47"/>
      <c r="RPW1" s="47"/>
      <c r="RPX1" s="47"/>
      <c r="RPY1" s="47"/>
      <c r="RPZ1" s="47"/>
      <c r="RQA1" s="47"/>
      <c r="RQB1" s="47"/>
      <c r="RQC1" s="47"/>
      <c r="RQD1" s="47"/>
      <c r="RQE1" s="47"/>
      <c r="RQF1" s="47"/>
      <c r="RQG1" s="47"/>
      <c r="RQH1" s="47"/>
      <c r="RQI1" s="47"/>
      <c r="RQJ1" s="47"/>
      <c r="RQK1" s="47"/>
      <c r="RQL1" s="47"/>
      <c r="RQM1" s="47"/>
      <c r="RQN1" s="47"/>
      <c r="RQO1" s="47"/>
      <c r="RQP1" s="47"/>
      <c r="RQQ1" s="47"/>
      <c r="RQR1" s="47"/>
      <c r="RQS1" s="47"/>
      <c r="RQT1" s="47"/>
      <c r="RQU1" s="47"/>
      <c r="RQV1" s="47"/>
      <c r="RQW1" s="47"/>
      <c r="RQX1" s="47"/>
      <c r="RQY1" s="47"/>
      <c r="RQZ1" s="47"/>
      <c r="RRA1" s="47"/>
      <c r="RRB1" s="47"/>
      <c r="RRC1" s="47"/>
      <c r="RRD1" s="47"/>
      <c r="RRE1" s="47"/>
      <c r="RRF1" s="47"/>
      <c r="RRG1" s="47"/>
      <c r="RRH1" s="47"/>
      <c r="RRI1" s="47"/>
      <c r="RRJ1" s="47"/>
      <c r="RRK1" s="47"/>
      <c r="RRL1" s="47"/>
      <c r="RRM1" s="47"/>
      <c r="RRN1" s="47"/>
      <c r="RRO1" s="47"/>
      <c r="RRP1" s="47"/>
      <c r="RRQ1" s="47"/>
      <c r="RRR1" s="47"/>
      <c r="RRS1" s="47"/>
      <c r="RRT1" s="47"/>
      <c r="RRU1" s="47"/>
      <c r="RRV1" s="47"/>
      <c r="RRW1" s="47"/>
      <c r="RRX1" s="47"/>
      <c r="RRY1" s="47"/>
      <c r="RRZ1" s="47"/>
      <c r="RSA1" s="47"/>
      <c r="RSB1" s="47"/>
      <c r="RSC1" s="47"/>
      <c r="RSD1" s="47"/>
      <c r="RSE1" s="47"/>
      <c r="RSF1" s="47"/>
      <c r="RSG1" s="47"/>
      <c r="RSH1" s="47"/>
      <c r="RSI1" s="47"/>
      <c r="RSJ1" s="47"/>
      <c r="RSK1" s="47"/>
      <c r="RSL1" s="47"/>
      <c r="RSM1" s="47"/>
      <c r="RSN1" s="47"/>
      <c r="RSO1" s="47"/>
      <c r="RSP1" s="47"/>
      <c r="RSQ1" s="47"/>
      <c r="RSR1" s="47"/>
      <c r="RSS1" s="47"/>
      <c r="RST1" s="47"/>
      <c r="RSU1" s="47"/>
      <c r="RSV1" s="47"/>
      <c r="RSW1" s="47"/>
      <c r="RSX1" s="47"/>
      <c r="RSY1" s="47"/>
      <c r="RSZ1" s="47"/>
      <c r="RTA1" s="47"/>
      <c r="RTB1" s="47"/>
      <c r="RTC1" s="47"/>
      <c r="RTD1" s="47"/>
      <c r="RTE1" s="47"/>
      <c r="RTF1" s="47"/>
      <c r="RTG1" s="47"/>
      <c r="RTH1" s="47"/>
      <c r="RTI1" s="47"/>
      <c r="RTJ1" s="47"/>
      <c r="RTK1" s="47"/>
      <c r="RTL1" s="47"/>
      <c r="RTM1" s="47"/>
      <c r="RTN1" s="47"/>
      <c r="RTO1" s="47"/>
      <c r="RTP1" s="47"/>
      <c r="RTQ1" s="47"/>
      <c r="RTR1" s="47"/>
      <c r="RTS1" s="47"/>
      <c r="RTT1" s="47"/>
      <c r="RTU1" s="47"/>
      <c r="RTV1" s="47"/>
      <c r="RTW1" s="47"/>
      <c r="RTX1" s="47"/>
      <c r="RTY1" s="47"/>
      <c r="RTZ1" s="47"/>
      <c r="RUA1" s="47"/>
      <c r="RUB1" s="47"/>
      <c r="RUC1" s="47"/>
      <c r="RUD1" s="47"/>
      <c r="RUE1" s="47"/>
      <c r="RUF1" s="47"/>
      <c r="RUG1" s="47"/>
      <c r="RUH1" s="47"/>
      <c r="RUI1" s="47"/>
      <c r="RUJ1" s="47"/>
      <c r="RUK1" s="47"/>
      <c r="RUL1" s="47"/>
      <c r="RUM1" s="47"/>
      <c r="RUN1" s="47"/>
      <c r="RUO1" s="47"/>
      <c r="RUP1" s="47"/>
      <c r="RUQ1" s="47"/>
      <c r="RUR1" s="47"/>
      <c r="RUS1" s="47"/>
      <c r="RUT1" s="47"/>
      <c r="RUU1" s="47"/>
      <c r="RUV1" s="47"/>
      <c r="RUW1" s="47"/>
      <c r="RUX1" s="47"/>
      <c r="RUY1" s="47"/>
      <c r="RUZ1" s="47"/>
      <c r="RVA1" s="47"/>
      <c r="RVB1" s="47"/>
      <c r="RVC1" s="47"/>
      <c r="RVD1" s="47"/>
      <c r="RVE1" s="47"/>
      <c r="RVF1" s="47"/>
      <c r="RVG1" s="47"/>
      <c r="RVH1" s="47"/>
      <c r="RVI1" s="47"/>
      <c r="RVJ1" s="47"/>
      <c r="RVK1" s="47"/>
      <c r="RVL1" s="47"/>
      <c r="RVM1" s="47"/>
      <c r="RVN1" s="47"/>
      <c r="RVO1" s="47"/>
      <c r="RVP1" s="47"/>
      <c r="RVQ1" s="47"/>
      <c r="RVR1" s="47"/>
      <c r="RVS1" s="47"/>
      <c r="RVT1" s="47"/>
      <c r="RVU1" s="47"/>
      <c r="RVV1" s="47"/>
      <c r="RVW1" s="47"/>
      <c r="RVX1" s="47"/>
      <c r="RVY1" s="47"/>
      <c r="RVZ1" s="47"/>
      <c r="RWA1" s="47"/>
      <c r="RWB1" s="47"/>
      <c r="RWC1" s="47"/>
      <c r="RWD1" s="47"/>
      <c r="RWE1" s="47"/>
      <c r="RWF1" s="47"/>
      <c r="RWG1" s="47"/>
      <c r="RWH1" s="47"/>
      <c r="RWI1" s="47"/>
      <c r="RWJ1" s="47"/>
      <c r="RWK1" s="47"/>
      <c r="RWL1" s="47"/>
      <c r="RWM1" s="47"/>
      <c r="RWN1" s="47"/>
      <c r="RWO1" s="47"/>
      <c r="RWP1" s="47"/>
      <c r="RWQ1" s="47"/>
      <c r="RWR1" s="47"/>
      <c r="RWS1" s="47"/>
      <c r="RWT1" s="47"/>
      <c r="RWU1" s="47"/>
      <c r="RWV1" s="47"/>
      <c r="RWW1" s="47"/>
      <c r="RWX1" s="47"/>
      <c r="RWY1" s="47"/>
      <c r="RWZ1" s="47"/>
      <c r="RXA1" s="47"/>
      <c r="RXB1" s="47"/>
      <c r="RXC1" s="47"/>
      <c r="RXD1" s="47"/>
      <c r="RXE1" s="47"/>
      <c r="RXF1" s="47"/>
      <c r="RXG1" s="47"/>
      <c r="RXH1" s="47"/>
      <c r="RXI1" s="47"/>
      <c r="RXJ1" s="47"/>
      <c r="RXK1" s="47"/>
      <c r="RXL1" s="47"/>
      <c r="RXM1" s="47"/>
      <c r="RXN1" s="47"/>
      <c r="RXO1" s="47"/>
      <c r="RXP1" s="47"/>
      <c r="RXQ1" s="47"/>
      <c r="RXR1" s="47"/>
      <c r="RXS1" s="47"/>
      <c r="RXT1" s="47"/>
      <c r="RXU1" s="47"/>
      <c r="RXV1" s="47"/>
      <c r="RXW1" s="47"/>
      <c r="RXX1" s="47"/>
      <c r="RXY1" s="47"/>
      <c r="RXZ1" s="47"/>
      <c r="RYA1" s="47"/>
      <c r="RYB1" s="47"/>
      <c r="RYC1" s="47"/>
      <c r="RYD1" s="47"/>
      <c r="RYE1" s="47"/>
      <c r="RYF1" s="47"/>
      <c r="RYG1" s="47"/>
      <c r="RYH1" s="47"/>
      <c r="RYI1" s="47"/>
      <c r="RYJ1" s="47"/>
      <c r="RYK1" s="47"/>
      <c r="RYL1" s="47"/>
      <c r="RYM1" s="47"/>
      <c r="RYN1" s="47"/>
      <c r="RYO1" s="47"/>
      <c r="RYP1" s="47"/>
      <c r="RYQ1" s="47"/>
      <c r="RYR1" s="47"/>
      <c r="RYS1" s="47"/>
      <c r="RYT1" s="47"/>
      <c r="RYU1" s="47"/>
      <c r="RYV1" s="47"/>
      <c r="RYW1" s="47"/>
      <c r="RYX1" s="47"/>
      <c r="RYY1" s="47"/>
      <c r="RYZ1" s="47"/>
      <c r="RZA1" s="47"/>
      <c r="RZB1" s="47"/>
      <c r="RZC1" s="47"/>
      <c r="RZD1" s="47"/>
      <c r="RZE1" s="47"/>
      <c r="RZF1" s="47"/>
      <c r="RZG1" s="47"/>
      <c r="RZH1" s="47"/>
      <c r="RZI1" s="47"/>
      <c r="RZJ1" s="47"/>
      <c r="RZK1" s="47"/>
      <c r="RZL1" s="47"/>
      <c r="RZM1" s="47"/>
      <c r="RZN1" s="47"/>
      <c r="RZO1" s="47"/>
      <c r="RZP1" s="47"/>
      <c r="RZQ1" s="47"/>
      <c r="RZR1" s="47"/>
      <c r="RZS1" s="47"/>
      <c r="RZT1" s="47"/>
      <c r="RZU1" s="47"/>
      <c r="RZV1" s="47"/>
      <c r="RZW1" s="47"/>
      <c r="RZX1" s="47"/>
      <c r="RZY1" s="47"/>
      <c r="RZZ1" s="47"/>
      <c r="SAA1" s="47"/>
      <c r="SAB1" s="47"/>
      <c r="SAC1" s="47"/>
      <c r="SAD1" s="47"/>
      <c r="SAE1" s="47"/>
      <c r="SAF1" s="47"/>
      <c r="SAG1" s="47"/>
      <c r="SAH1" s="47"/>
      <c r="SAI1" s="47"/>
      <c r="SAJ1" s="47"/>
      <c r="SAK1" s="47"/>
      <c r="SAL1" s="47"/>
      <c r="SAM1" s="47"/>
      <c r="SAN1" s="47"/>
      <c r="SAO1" s="47"/>
      <c r="SAP1" s="47"/>
      <c r="SAQ1" s="47"/>
      <c r="SAR1" s="47"/>
      <c r="SAS1" s="47"/>
      <c r="SAT1" s="47"/>
      <c r="SAU1" s="47"/>
      <c r="SAV1" s="47"/>
      <c r="SAW1" s="47"/>
      <c r="SAX1" s="47"/>
      <c r="SAY1" s="47"/>
      <c r="SAZ1" s="47"/>
      <c r="SBA1" s="47"/>
      <c r="SBB1" s="47"/>
      <c r="SBC1" s="47"/>
      <c r="SBD1" s="47"/>
      <c r="SBE1" s="47"/>
      <c r="SBF1" s="47"/>
      <c r="SBG1" s="47"/>
      <c r="SBH1" s="47"/>
      <c r="SBI1" s="47"/>
      <c r="SBJ1" s="47"/>
      <c r="SBK1" s="47"/>
      <c r="SBL1" s="47"/>
      <c r="SBM1" s="47"/>
      <c r="SBN1" s="47"/>
      <c r="SBO1" s="47"/>
      <c r="SBP1" s="47"/>
      <c r="SBQ1" s="47"/>
      <c r="SBR1" s="47"/>
      <c r="SBS1" s="47"/>
      <c r="SBT1" s="47"/>
      <c r="SBU1" s="47"/>
      <c r="SBV1" s="47"/>
      <c r="SBW1" s="47"/>
      <c r="SBX1" s="47"/>
      <c r="SBY1" s="47"/>
      <c r="SBZ1" s="47"/>
      <c r="SCA1" s="47"/>
      <c r="SCB1" s="47"/>
      <c r="SCC1" s="47"/>
      <c r="SCD1" s="47"/>
      <c r="SCE1" s="47"/>
      <c r="SCF1" s="47"/>
      <c r="SCG1" s="47"/>
      <c r="SCH1" s="47"/>
      <c r="SCI1" s="47"/>
      <c r="SCJ1" s="47"/>
      <c r="SCK1" s="47"/>
      <c r="SCL1" s="47"/>
      <c r="SCM1" s="47"/>
      <c r="SCN1" s="47"/>
      <c r="SCO1" s="47"/>
      <c r="SCP1" s="47"/>
      <c r="SCQ1" s="47"/>
      <c r="SCR1" s="47"/>
      <c r="SCS1" s="47"/>
      <c r="SCT1" s="47"/>
      <c r="SCU1" s="47"/>
      <c r="SCV1" s="47"/>
      <c r="SCW1" s="47"/>
      <c r="SCX1" s="47"/>
      <c r="SCY1" s="47"/>
      <c r="SCZ1" s="47"/>
      <c r="SDA1" s="47"/>
      <c r="SDB1" s="47"/>
      <c r="SDC1" s="47"/>
      <c r="SDD1" s="47"/>
      <c r="SDE1" s="47"/>
      <c r="SDF1" s="47"/>
      <c r="SDG1" s="47"/>
      <c r="SDH1" s="47"/>
      <c r="SDI1" s="47"/>
      <c r="SDJ1" s="47"/>
      <c r="SDK1" s="47"/>
      <c r="SDL1" s="47"/>
      <c r="SDM1" s="47"/>
      <c r="SDN1" s="47"/>
      <c r="SDO1" s="47"/>
      <c r="SDP1" s="47"/>
      <c r="SDQ1" s="47"/>
      <c r="SDR1" s="47"/>
      <c r="SDS1" s="47"/>
      <c r="SDT1" s="47"/>
      <c r="SDU1" s="47"/>
      <c r="SDV1" s="47"/>
      <c r="SDW1" s="47"/>
      <c r="SDX1" s="47"/>
      <c r="SDY1" s="47"/>
      <c r="SDZ1" s="47"/>
      <c r="SEA1" s="47"/>
      <c r="SEB1" s="47"/>
      <c r="SEC1" s="47"/>
      <c r="SED1" s="47"/>
      <c r="SEE1" s="47"/>
      <c r="SEF1" s="47"/>
      <c r="SEG1" s="47"/>
      <c r="SEH1" s="47"/>
      <c r="SEI1" s="47"/>
      <c r="SEJ1" s="47"/>
      <c r="SEK1" s="47"/>
      <c r="SEL1" s="47"/>
      <c r="SEM1" s="47"/>
      <c r="SEN1" s="47"/>
      <c r="SEO1" s="47"/>
      <c r="SEP1" s="47"/>
      <c r="SEQ1" s="47"/>
      <c r="SER1" s="47"/>
      <c r="SES1" s="47"/>
      <c r="SET1" s="47"/>
      <c r="SEU1" s="47"/>
      <c r="SEV1" s="47"/>
      <c r="SEW1" s="47"/>
      <c r="SEX1" s="47"/>
      <c r="SEY1" s="47"/>
      <c r="SEZ1" s="47"/>
      <c r="SFA1" s="47"/>
      <c r="SFB1" s="47"/>
      <c r="SFC1" s="47"/>
      <c r="SFD1" s="47"/>
      <c r="SFE1" s="47"/>
      <c r="SFF1" s="47"/>
      <c r="SFG1" s="47"/>
      <c r="SFH1" s="47"/>
      <c r="SFI1" s="47"/>
      <c r="SFJ1" s="47"/>
      <c r="SFK1" s="47"/>
      <c r="SFL1" s="47"/>
      <c r="SFM1" s="47"/>
      <c r="SFN1" s="47"/>
      <c r="SFO1" s="47"/>
      <c r="SFP1" s="47"/>
      <c r="SFQ1" s="47"/>
      <c r="SFR1" s="47"/>
      <c r="SFS1" s="47"/>
      <c r="SFT1" s="47"/>
      <c r="SFU1" s="47"/>
      <c r="SFV1" s="47"/>
      <c r="SFW1" s="47"/>
      <c r="SFX1" s="47"/>
      <c r="SFY1" s="47"/>
      <c r="SFZ1" s="47"/>
      <c r="SGA1" s="47"/>
      <c r="SGB1" s="47"/>
      <c r="SGC1" s="47"/>
      <c r="SGD1" s="47"/>
      <c r="SGE1" s="47"/>
      <c r="SGF1" s="47"/>
      <c r="SGG1" s="47"/>
      <c r="SGH1" s="47"/>
      <c r="SGI1" s="47"/>
      <c r="SGJ1" s="47"/>
      <c r="SGK1" s="47"/>
      <c r="SGL1" s="47"/>
      <c r="SGM1" s="47"/>
      <c r="SGN1" s="47"/>
      <c r="SGO1" s="47"/>
      <c r="SGP1" s="47"/>
      <c r="SGQ1" s="47"/>
      <c r="SGR1" s="47"/>
      <c r="SGS1" s="47"/>
      <c r="SGT1" s="47"/>
      <c r="SGU1" s="47"/>
      <c r="SGV1" s="47"/>
      <c r="SGW1" s="47"/>
      <c r="SGX1" s="47"/>
      <c r="SGY1" s="47"/>
      <c r="SGZ1" s="47"/>
      <c r="SHA1" s="47"/>
      <c r="SHB1" s="47"/>
      <c r="SHC1" s="47"/>
      <c r="SHD1" s="47"/>
      <c r="SHE1" s="47"/>
      <c r="SHF1" s="47"/>
      <c r="SHG1" s="47"/>
      <c r="SHH1" s="47"/>
      <c r="SHI1" s="47"/>
      <c r="SHJ1" s="47"/>
      <c r="SHK1" s="47"/>
      <c r="SHL1" s="47"/>
      <c r="SHM1" s="47"/>
      <c r="SHN1" s="47"/>
      <c r="SHO1" s="47"/>
      <c r="SHP1" s="47"/>
      <c r="SHQ1" s="47"/>
      <c r="SHR1" s="47"/>
      <c r="SHS1" s="47"/>
      <c r="SHT1" s="47"/>
      <c r="SHU1" s="47"/>
      <c r="SHV1" s="47"/>
      <c r="SHW1" s="47"/>
      <c r="SHX1" s="47"/>
      <c r="SHY1" s="47"/>
      <c r="SHZ1" s="47"/>
      <c r="SIA1" s="47"/>
      <c r="SIB1" s="47"/>
      <c r="SIC1" s="47"/>
      <c r="SID1" s="47"/>
      <c r="SIE1" s="47"/>
      <c r="SIF1" s="47"/>
      <c r="SIG1" s="47"/>
      <c r="SIH1" s="47"/>
      <c r="SII1" s="47"/>
      <c r="SIJ1" s="47"/>
      <c r="SIK1" s="47"/>
      <c r="SIL1" s="47"/>
      <c r="SIM1" s="47"/>
      <c r="SIN1" s="47"/>
      <c r="SIO1" s="47"/>
      <c r="SIP1" s="47"/>
      <c r="SIQ1" s="47"/>
      <c r="SIR1" s="47"/>
      <c r="SIS1" s="47"/>
      <c r="SIT1" s="47"/>
      <c r="SIU1" s="47"/>
      <c r="SIV1" s="47"/>
      <c r="SIW1" s="47"/>
      <c r="SIX1" s="47"/>
      <c r="SIY1" s="47"/>
      <c r="SIZ1" s="47"/>
      <c r="SJA1" s="47"/>
      <c r="SJB1" s="47"/>
      <c r="SJC1" s="47"/>
      <c r="SJD1" s="47"/>
      <c r="SJE1" s="47"/>
      <c r="SJF1" s="47"/>
      <c r="SJG1" s="47"/>
      <c r="SJH1" s="47"/>
      <c r="SJI1" s="47"/>
      <c r="SJJ1" s="47"/>
      <c r="SJK1" s="47"/>
      <c r="SJL1" s="47"/>
      <c r="SJM1" s="47"/>
      <c r="SJN1" s="47"/>
      <c r="SJO1" s="47"/>
      <c r="SJP1" s="47"/>
      <c r="SJQ1" s="47"/>
      <c r="SJR1" s="47"/>
      <c r="SJS1" s="47"/>
      <c r="SJT1" s="47"/>
      <c r="SJU1" s="47"/>
      <c r="SJV1" s="47"/>
      <c r="SJW1" s="47"/>
      <c r="SJX1" s="47"/>
      <c r="SJY1" s="47"/>
      <c r="SJZ1" s="47"/>
      <c r="SKA1" s="47"/>
      <c r="SKB1" s="47"/>
      <c r="SKC1" s="47"/>
      <c r="SKD1" s="47"/>
      <c r="SKE1" s="47"/>
      <c r="SKF1" s="47"/>
      <c r="SKG1" s="47"/>
      <c r="SKH1" s="47"/>
      <c r="SKI1" s="47"/>
      <c r="SKJ1" s="47"/>
      <c r="SKK1" s="47"/>
      <c r="SKL1" s="47"/>
      <c r="SKM1" s="47"/>
      <c r="SKN1" s="47"/>
      <c r="SKO1" s="47"/>
      <c r="SKP1" s="47"/>
      <c r="SKQ1" s="47"/>
      <c r="SKR1" s="47"/>
      <c r="SKS1" s="47"/>
      <c r="SKT1" s="47"/>
      <c r="SKU1" s="47"/>
      <c r="SKV1" s="47"/>
      <c r="SKW1" s="47"/>
      <c r="SKX1" s="47"/>
      <c r="SKY1" s="47"/>
      <c r="SKZ1" s="47"/>
      <c r="SLA1" s="47"/>
      <c r="SLB1" s="47"/>
      <c r="SLC1" s="47"/>
      <c r="SLD1" s="47"/>
      <c r="SLE1" s="47"/>
      <c r="SLF1" s="47"/>
      <c r="SLG1" s="47"/>
      <c r="SLH1" s="47"/>
      <c r="SLI1" s="47"/>
      <c r="SLJ1" s="47"/>
      <c r="SLK1" s="47"/>
      <c r="SLL1" s="47"/>
      <c r="SLM1" s="47"/>
      <c r="SLN1" s="47"/>
      <c r="SLO1" s="47"/>
      <c r="SLP1" s="47"/>
      <c r="SLQ1" s="47"/>
      <c r="SLR1" s="47"/>
      <c r="SLS1" s="47"/>
      <c r="SLT1" s="47"/>
      <c r="SLU1" s="47"/>
      <c r="SLV1" s="47"/>
      <c r="SLW1" s="47"/>
      <c r="SLX1" s="47"/>
      <c r="SLY1" s="47"/>
      <c r="SLZ1" s="47"/>
      <c r="SMA1" s="47"/>
      <c r="SMB1" s="47"/>
      <c r="SMC1" s="47"/>
      <c r="SMD1" s="47"/>
      <c r="SME1" s="47"/>
      <c r="SMF1" s="47"/>
      <c r="SMG1" s="47"/>
      <c r="SMH1" s="47"/>
      <c r="SMI1" s="47"/>
      <c r="SMJ1" s="47"/>
      <c r="SMK1" s="47"/>
      <c r="SML1" s="47"/>
      <c r="SMM1" s="47"/>
      <c r="SMN1" s="47"/>
      <c r="SMO1" s="47"/>
      <c r="SMP1" s="47"/>
      <c r="SMQ1" s="47"/>
      <c r="SMR1" s="47"/>
      <c r="SMS1" s="47"/>
      <c r="SMT1" s="47"/>
      <c r="SMU1" s="47"/>
      <c r="SMV1" s="47"/>
      <c r="SMW1" s="47"/>
      <c r="SMX1" s="47"/>
      <c r="SMY1" s="47"/>
      <c r="SMZ1" s="47"/>
      <c r="SNA1" s="47"/>
      <c r="SNB1" s="47"/>
      <c r="SNC1" s="47"/>
      <c r="SND1" s="47"/>
      <c r="SNE1" s="47"/>
      <c r="SNF1" s="47"/>
      <c r="SNG1" s="47"/>
      <c r="SNH1" s="47"/>
      <c r="SNI1" s="47"/>
      <c r="SNJ1" s="47"/>
      <c r="SNK1" s="47"/>
      <c r="SNL1" s="47"/>
      <c r="SNM1" s="47"/>
      <c r="SNN1" s="47"/>
      <c r="SNO1" s="47"/>
      <c r="SNP1" s="47"/>
      <c r="SNQ1" s="47"/>
      <c r="SNR1" s="47"/>
      <c r="SNS1" s="47"/>
      <c r="SNT1" s="47"/>
      <c r="SNU1" s="47"/>
      <c r="SNV1" s="47"/>
      <c r="SNW1" s="47"/>
      <c r="SNX1" s="47"/>
      <c r="SNY1" s="47"/>
      <c r="SNZ1" s="47"/>
      <c r="SOA1" s="47"/>
      <c r="SOB1" s="47"/>
      <c r="SOC1" s="47"/>
      <c r="SOD1" s="47"/>
      <c r="SOE1" s="47"/>
      <c r="SOF1" s="47"/>
      <c r="SOG1" s="47"/>
      <c r="SOH1" s="47"/>
      <c r="SOI1" s="47"/>
      <c r="SOJ1" s="47"/>
      <c r="SOK1" s="47"/>
      <c r="SOL1" s="47"/>
      <c r="SOM1" s="47"/>
      <c r="SON1" s="47"/>
      <c r="SOO1" s="47"/>
      <c r="SOP1" s="47"/>
      <c r="SOQ1" s="47"/>
      <c r="SOR1" s="47"/>
      <c r="SOS1" s="47"/>
      <c r="SOT1" s="47"/>
      <c r="SOU1" s="47"/>
      <c r="SOV1" s="47"/>
      <c r="SOW1" s="47"/>
      <c r="SOX1" s="47"/>
      <c r="SOY1" s="47"/>
      <c r="SOZ1" s="47"/>
      <c r="SPA1" s="47"/>
      <c r="SPB1" s="47"/>
      <c r="SPC1" s="47"/>
      <c r="SPD1" s="47"/>
      <c r="SPE1" s="47"/>
      <c r="SPF1" s="47"/>
      <c r="SPG1" s="47"/>
      <c r="SPH1" s="47"/>
      <c r="SPI1" s="47"/>
      <c r="SPJ1" s="47"/>
      <c r="SPK1" s="47"/>
      <c r="SPL1" s="47"/>
      <c r="SPM1" s="47"/>
      <c r="SPN1" s="47"/>
      <c r="SPO1" s="47"/>
      <c r="SPP1" s="47"/>
      <c r="SPQ1" s="47"/>
      <c r="SPR1" s="47"/>
      <c r="SPS1" s="47"/>
      <c r="SPT1" s="47"/>
      <c r="SPU1" s="47"/>
      <c r="SPV1" s="47"/>
      <c r="SPW1" s="47"/>
      <c r="SPX1" s="47"/>
      <c r="SPY1" s="47"/>
      <c r="SPZ1" s="47"/>
      <c r="SQA1" s="47"/>
      <c r="SQB1" s="47"/>
      <c r="SQC1" s="47"/>
      <c r="SQD1" s="47"/>
      <c r="SQE1" s="47"/>
      <c r="SQF1" s="47"/>
      <c r="SQG1" s="47"/>
      <c r="SQH1" s="47"/>
      <c r="SQI1" s="47"/>
      <c r="SQJ1" s="47"/>
      <c r="SQK1" s="47"/>
      <c r="SQL1" s="47"/>
      <c r="SQM1" s="47"/>
      <c r="SQN1" s="47"/>
      <c r="SQO1" s="47"/>
      <c r="SQP1" s="47"/>
      <c r="SQQ1" s="47"/>
      <c r="SQR1" s="47"/>
      <c r="SQS1" s="47"/>
      <c r="SQT1" s="47"/>
      <c r="SQU1" s="47"/>
      <c r="SQV1" s="47"/>
      <c r="SQW1" s="47"/>
      <c r="SQX1" s="47"/>
      <c r="SQY1" s="47"/>
      <c r="SQZ1" s="47"/>
      <c r="SRA1" s="47"/>
      <c r="SRB1" s="47"/>
      <c r="SRC1" s="47"/>
      <c r="SRD1" s="47"/>
      <c r="SRE1" s="47"/>
      <c r="SRF1" s="47"/>
      <c r="SRG1" s="47"/>
      <c r="SRH1" s="47"/>
      <c r="SRI1" s="47"/>
      <c r="SRJ1" s="47"/>
      <c r="SRK1" s="47"/>
      <c r="SRL1" s="47"/>
      <c r="SRM1" s="47"/>
      <c r="SRN1" s="47"/>
      <c r="SRO1" s="47"/>
      <c r="SRP1" s="47"/>
      <c r="SRQ1" s="47"/>
      <c r="SRR1" s="47"/>
      <c r="SRS1" s="47"/>
      <c r="SRT1" s="47"/>
      <c r="SRU1" s="47"/>
      <c r="SRV1" s="47"/>
      <c r="SRW1" s="47"/>
      <c r="SRX1" s="47"/>
      <c r="SRY1" s="47"/>
      <c r="SRZ1" s="47"/>
      <c r="SSA1" s="47"/>
      <c r="SSB1" s="47"/>
      <c r="SSC1" s="47"/>
      <c r="SSD1" s="47"/>
      <c r="SSE1" s="47"/>
      <c r="SSF1" s="47"/>
      <c r="SSG1" s="47"/>
      <c r="SSH1" s="47"/>
      <c r="SSI1" s="47"/>
      <c r="SSJ1" s="47"/>
      <c r="SSK1" s="47"/>
      <c r="SSL1" s="47"/>
      <c r="SSM1" s="47"/>
      <c r="SSN1" s="47"/>
      <c r="SSO1" s="47"/>
      <c r="SSP1" s="47"/>
      <c r="SSQ1" s="47"/>
      <c r="SSR1" s="47"/>
      <c r="SSS1" s="47"/>
      <c r="SST1" s="47"/>
      <c r="SSU1" s="47"/>
      <c r="SSV1" s="47"/>
      <c r="SSW1" s="47"/>
      <c r="SSX1" s="47"/>
      <c r="SSY1" s="47"/>
      <c r="SSZ1" s="47"/>
      <c r="STA1" s="47"/>
      <c r="STB1" s="47"/>
      <c r="STC1" s="47"/>
      <c r="STD1" s="47"/>
      <c r="STE1" s="47"/>
      <c r="STF1" s="47"/>
      <c r="STG1" s="47"/>
      <c r="STH1" s="47"/>
      <c r="STI1" s="47"/>
      <c r="STJ1" s="47"/>
      <c r="STK1" s="47"/>
      <c r="STL1" s="47"/>
      <c r="STM1" s="47"/>
      <c r="STN1" s="47"/>
      <c r="STO1" s="47"/>
      <c r="STP1" s="47"/>
      <c r="STQ1" s="47"/>
      <c r="STR1" s="47"/>
      <c r="STS1" s="47"/>
      <c r="STT1" s="47"/>
      <c r="STU1" s="47"/>
      <c r="STV1" s="47"/>
      <c r="STW1" s="47"/>
      <c r="STX1" s="47"/>
      <c r="STY1" s="47"/>
      <c r="STZ1" s="47"/>
      <c r="SUA1" s="47"/>
      <c r="SUB1" s="47"/>
      <c r="SUC1" s="47"/>
      <c r="SUD1" s="47"/>
      <c r="SUE1" s="47"/>
      <c r="SUF1" s="47"/>
      <c r="SUG1" s="47"/>
      <c r="SUH1" s="47"/>
      <c r="SUI1" s="47"/>
      <c r="SUJ1" s="47"/>
      <c r="SUK1" s="47"/>
      <c r="SUL1" s="47"/>
      <c r="SUM1" s="47"/>
      <c r="SUN1" s="47"/>
      <c r="SUO1" s="47"/>
      <c r="SUP1" s="47"/>
      <c r="SUQ1" s="47"/>
      <c r="SUR1" s="47"/>
      <c r="SUS1" s="47"/>
      <c r="SUT1" s="47"/>
      <c r="SUU1" s="47"/>
      <c r="SUV1" s="47"/>
      <c r="SUW1" s="47"/>
      <c r="SUX1" s="47"/>
      <c r="SUY1" s="47"/>
      <c r="SUZ1" s="47"/>
      <c r="SVA1" s="47"/>
      <c r="SVB1" s="47"/>
      <c r="SVC1" s="47"/>
      <c r="SVD1" s="47"/>
      <c r="SVE1" s="47"/>
      <c r="SVF1" s="47"/>
      <c r="SVG1" s="47"/>
      <c r="SVH1" s="47"/>
      <c r="SVI1" s="47"/>
      <c r="SVJ1" s="47"/>
      <c r="SVK1" s="47"/>
      <c r="SVL1" s="47"/>
      <c r="SVM1" s="47"/>
      <c r="SVN1" s="47"/>
      <c r="SVO1" s="47"/>
      <c r="SVP1" s="47"/>
      <c r="SVQ1" s="47"/>
      <c r="SVR1" s="47"/>
      <c r="SVS1" s="47"/>
      <c r="SVT1" s="47"/>
      <c r="SVU1" s="47"/>
      <c r="SVV1" s="47"/>
      <c r="SVW1" s="47"/>
      <c r="SVX1" s="47"/>
      <c r="SVY1" s="47"/>
      <c r="SVZ1" s="47"/>
      <c r="SWA1" s="47"/>
      <c r="SWB1" s="47"/>
      <c r="SWC1" s="47"/>
      <c r="SWD1" s="47"/>
      <c r="SWE1" s="47"/>
      <c r="SWF1" s="47"/>
      <c r="SWG1" s="47"/>
      <c r="SWH1" s="47"/>
      <c r="SWI1" s="47"/>
      <c r="SWJ1" s="47"/>
      <c r="SWK1" s="47"/>
      <c r="SWL1" s="47"/>
      <c r="SWM1" s="47"/>
      <c r="SWN1" s="47"/>
      <c r="SWO1" s="47"/>
      <c r="SWP1" s="47"/>
      <c r="SWQ1" s="47"/>
      <c r="SWR1" s="47"/>
      <c r="SWS1" s="47"/>
      <c r="SWT1" s="47"/>
      <c r="SWU1" s="47"/>
      <c r="SWV1" s="47"/>
      <c r="SWW1" s="47"/>
      <c r="SWX1" s="47"/>
      <c r="SWY1" s="47"/>
      <c r="SWZ1" s="47"/>
      <c r="SXA1" s="47"/>
      <c r="SXB1" s="47"/>
      <c r="SXC1" s="47"/>
      <c r="SXD1" s="47"/>
      <c r="SXE1" s="47"/>
      <c r="SXF1" s="47"/>
      <c r="SXG1" s="47"/>
      <c r="SXH1" s="47"/>
      <c r="SXI1" s="47"/>
      <c r="SXJ1" s="47"/>
      <c r="SXK1" s="47"/>
      <c r="SXL1" s="47"/>
      <c r="SXM1" s="47"/>
      <c r="SXN1" s="47"/>
      <c r="SXO1" s="47"/>
      <c r="SXP1" s="47"/>
      <c r="SXQ1" s="47"/>
      <c r="SXR1" s="47"/>
      <c r="SXS1" s="47"/>
      <c r="SXT1" s="47"/>
      <c r="SXU1" s="47"/>
      <c r="SXV1" s="47"/>
      <c r="SXW1" s="47"/>
      <c r="SXX1" s="47"/>
      <c r="SXY1" s="47"/>
      <c r="SXZ1" s="47"/>
      <c r="SYA1" s="47"/>
      <c r="SYB1" s="47"/>
      <c r="SYC1" s="47"/>
      <c r="SYD1" s="47"/>
      <c r="SYE1" s="47"/>
      <c r="SYF1" s="47"/>
      <c r="SYG1" s="47"/>
      <c r="SYH1" s="47"/>
      <c r="SYI1" s="47"/>
      <c r="SYJ1" s="47"/>
      <c r="SYK1" s="47"/>
      <c r="SYL1" s="47"/>
      <c r="SYM1" s="47"/>
      <c r="SYN1" s="47"/>
      <c r="SYO1" s="47"/>
      <c r="SYP1" s="47"/>
      <c r="SYQ1" s="47"/>
      <c r="SYR1" s="47"/>
      <c r="SYS1" s="47"/>
      <c r="SYT1" s="47"/>
      <c r="SYU1" s="47"/>
      <c r="SYV1" s="47"/>
      <c r="SYW1" s="47"/>
      <c r="SYX1" s="47"/>
      <c r="SYY1" s="47"/>
      <c r="SYZ1" s="47"/>
      <c r="SZA1" s="47"/>
      <c r="SZB1" s="47"/>
      <c r="SZC1" s="47"/>
      <c r="SZD1" s="47"/>
      <c r="SZE1" s="47"/>
      <c r="SZF1" s="47"/>
      <c r="SZG1" s="47"/>
      <c r="SZH1" s="47"/>
      <c r="SZI1" s="47"/>
      <c r="SZJ1" s="47"/>
      <c r="SZK1" s="47"/>
      <c r="SZL1" s="47"/>
      <c r="SZM1" s="47"/>
      <c r="SZN1" s="47"/>
      <c r="SZO1" s="47"/>
      <c r="SZP1" s="47"/>
      <c r="SZQ1" s="47"/>
      <c r="SZR1" s="47"/>
      <c r="SZS1" s="47"/>
      <c r="SZT1" s="47"/>
      <c r="SZU1" s="47"/>
      <c r="SZV1" s="47"/>
      <c r="SZW1" s="47"/>
      <c r="SZX1" s="47"/>
      <c r="SZY1" s="47"/>
      <c r="SZZ1" s="47"/>
      <c r="TAA1" s="47"/>
      <c r="TAB1" s="47"/>
      <c r="TAC1" s="47"/>
      <c r="TAD1" s="47"/>
      <c r="TAE1" s="47"/>
      <c r="TAF1" s="47"/>
      <c r="TAG1" s="47"/>
      <c r="TAH1" s="47"/>
      <c r="TAI1" s="47"/>
      <c r="TAJ1" s="47"/>
      <c r="TAK1" s="47"/>
      <c r="TAL1" s="47"/>
      <c r="TAM1" s="47"/>
      <c r="TAN1" s="47"/>
      <c r="TAO1" s="47"/>
      <c r="TAP1" s="47"/>
      <c r="TAQ1" s="47"/>
      <c r="TAR1" s="47"/>
      <c r="TAS1" s="47"/>
      <c r="TAT1" s="47"/>
      <c r="TAU1" s="47"/>
      <c r="TAV1" s="47"/>
      <c r="TAW1" s="47"/>
      <c r="TAX1" s="47"/>
      <c r="TAY1" s="47"/>
      <c r="TAZ1" s="47"/>
      <c r="TBA1" s="47"/>
      <c r="TBB1" s="47"/>
      <c r="TBC1" s="47"/>
      <c r="TBD1" s="47"/>
      <c r="TBE1" s="47"/>
      <c r="TBF1" s="47"/>
      <c r="TBG1" s="47"/>
      <c r="TBH1" s="47"/>
      <c r="TBI1" s="47"/>
      <c r="TBJ1" s="47"/>
      <c r="TBK1" s="47"/>
      <c r="TBL1" s="47"/>
      <c r="TBM1" s="47"/>
      <c r="TBN1" s="47"/>
      <c r="TBO1" s="47"/>
      <c r="TBP1" s="47"/>
      <c r="TBQ1" s="47"/>
      <c r="TBR1" s="47"/>
      <c r="TBS1" s="47"/>
      <c r="TBT1" s="47"/>
      <c r="TBU1" s="47"/>
      <c r="TBV1" s="47"/>
      <c r="TBW1" s="47"/>
      <c r="TBX1" s="47"/>
      <c r="TBY1" s="47"/>
      <c r="TBZ1" s="47"/>
      <c r="TCA1" s="47"/>
      <c r="TCB1" s="47"/>
      <c r="TCC1" s="47"/>
      <c r="TCD1" s="47"/>
      <c r="TCE1" s="47"/>
      <c r="TCF1" s="47"/>
      <c r="TCG1" s="47"/>
      <c r="TCH1" s="47"/>
      <c r="TCI1" s="47"/>
      <c r="TCJ1" s="47"/>
      <c r="TCK1" s="47"/>
      <c r="TCL1" s="47"/>
      <c r="TCM1" s="47"/>
      <c r="TCN1" s="47"/>
      <c r="TCO1" s="47"/>
      <c r="TCP1" s="47"/>
      <c r="TCQ1" s="47"/>
      <c r="TCR1" s="47"/>
      <c r="TCS1" s="47"/>
      <c r="TCT1" s="47"/>
      <c r="TCU1" s="47"/>
      <c r="TCV1" s="47"/>
      <c r="TCW1" s="47"/>
      <c r="TCX1" s="47"/>
      <c r="TCY1" s="47"/>
      <c r="TCZ1" s="47"/>
      <c r="TDA1" s="47"/>
      <c r="TDB1" s="47"/>
      <c r="TDC1" s="47"/>
      <c r="TDD1" s="47"/>
      <c r="TDE1" s="47"/>
      <c r="TDF1" s="47"/>
      <c r="TDG1" s="47"/>
      <c r="TDH1" s="47"/>
      <c r="TDI1" s="47"/>
      <c r="TDJ1" s="47"/>
      <c r="TDK1" s="47"/>
      <c r="TDL1" s="47"/>
      <c r="TDM1" s="47"/>
      <c r="TDN1" s="47"/>
      <c r="TDO1" s="47"/>
      <c r="TDP1" s="47"/>
      <c r="TDQ1" s="47"/>
      <c r="TDR1" s="47"/>
      <c r="TDS1" s="47"/>
      <c r="TDT1" s="47"/>
      <c r="TDU1" s="47"/>
      <c r="TDV1" s="47"/>
      <c r="TDW1" s="47"/>
      <c r="TDX1" s="47"/>
      <c r="TDY1" s="47"/>
      <c r="TDZ1" s="47"/>
      <c r="TEA1" s="47"/>
      <c r="TEB1" s="47"/>
      <c r="TEC1" s="47"/>
      <c r="TED1" s="47"/>
      <c r="TEE1" s="47"/>
      <c r="TEF1" s="47"/>
      <c r="TEG1" s="47"/>
      <c r="TEH1" s="47"/>
      <c r="TEI1" s="47"/>
      <c r="TEJ1" s="47"/>
      <c r="TEK1" s="47"/>
      <c r="TEL1" s="47"/>
      <c r="TEM1" s="47"/>
      <c r="TEN1" s="47"/>
      <c r="TEO1" s="47"/>
      <c r="TEP1" s="47"/>
      <c r="TEQ1" s="47"/>
      <c r="TER1" s="47"/>
      <c r="TES1" s="47"/>
      <c r="TET1" s="47"/>
      <c r="TEU1" s="47"/>
      <c r="TEV1" s="47"/>
      <c r="TEW1" s="47"/>
      <c r="TEX1" s="47"/>
      <c r="TEY1" s="47"/>
      <c r="TEZ1" s="47"/>
      <c r="TFA1" s="47"/>
      <c r="TFB1" s="47"/>
      <c r="TFC1" s="47"/>
      <c r="TFD1" s="47"/>
      <c r="TFE1" s="47"/>
      <c r="TFF1" s="47"/>
      <c r="TFG1" s="47"/>
      <c r="TFH1" s="47"/>
      <c r="TFI1" s="47"/>
      <c r="TFJ1" s="47"/>
      <c r="TFK1" s="47"/>
      <c r="TFL1" s="47"/>
      <c r="TFM1" s="47"/>
      <c r="TFN1" s="47"/>
      <c r="TFO1" s="47"/>
      <c r="TFP1" s="47"/>
      <c r="TFQ1" s="47"/>
      <c r="TFR1" s="47"/>
      <c r="TFS1" s="47"/>
      <c r="TFT1" s="47"/>
      <c r="TFU1" s="47"/>
      <c r="TFV1" s="47"/>
      <c r="TFW1" s="47"/>
      <c r="TFX1" s="47"/>
      <c r="TFY1" s="47"/>
      <c r="TFZ1" s="47"/>
      <c r="TGA1" s="47"/>
      <c r="TGB1" s="47"/>
      <c r="TGC1" s="47"/>
      <c r="TGD1" s="47"/>
      <c r="TGE1" s="47"/>
      <c r="TGF1" s="47"/>
      <c r="TGG1" s="47"/>
      <c r="TGH1" s="47"/>
      <c r="TGI1" s="47"/>
      <c r="TGJ1" s="47"/>
      <c r="TGK1" s="47"/>
      <c r="TGL1" s="47"/>
      <c r="TGM1" s="47"/>
      <c r="TGN1" s="47"/>
      <c r="TGO1" s="47"/>
      <c r="TGP1" s="47"/>
      <c r="TGQ1" s="47"/>
      <c r="TGR1" s="47"/>
      <c r="TGS1" s="47"/>
      <c r="TGT1" s="47"/>
      <c r="TGU1" s="47"/>
      <c r="TGV1" s="47"/>
      <c r="TGW1" s="47"/>
      <c r="TGX1" s="47"/>
      <c r="TGY1" s="47"/>
      <c r="TGZ1" s="47"/>
      <c r="THA1" s="47"/>
      <c r="THB1" s="47"/>
      <c r="THC1" s="47"/>
      <c r="THD1" s="47"/>
      <c r="THE1" s="47"/>
      <c r="THF1" s="47"/>
      <c r="THG1" s="47"/>
      <c r="THH1" s="47"/>
      <c r="THI1" s="47"/>
      <c r="THJ1" s="47"/>
      <c r="THK1" s="47"/>
      <c r="THL1" s="47"/>
      <c r="THM1" s="47"/>
      <c r="THN1" s="47"/>
      <c r="THO1" s="47"/>
      <c r="THP1" s="47"/>
      <c r="THQ1" s="47"/>
      <c r="THR1" s="47"/>
      <c r="THS1" s="47"/>
      <c r="THT1" s="47"/>
      <c r="THU1" s="47"/>
      <c r="THV1" s="47"/>
      <c r="THW1" s="47"/>
      <c r="THX1" s="47"/>
      <c r="THY1" s="47"/>
      <c r="THZ1" s="47"/>
      <c r="TIA1" s="47"/>
      <c r="TIB1" s="47"/>
      <c r="TIC1" s="47"/>
      <c r="TID1" s="47"/>
      <c r="TIE1" s="47"/>
      <c r="TIF1" s="47"/>
      <c r="TIG1" s="47"/>
      <c r="TIH1" s="47"/>
      <c r="TII1" s="47"/>
      <c r="TIJ1" s="47"/>
      <c r="TIK1" s="47"/>
      <c r="TIL1" s="47"/>
      <c r="TIM1" s="47"/>
      <c r="TIN1" s="47"/>
      <c r="TIO1" s="47"/>
      <c r="TIP1" s="47"/>
      <c r="TIQ1" s="47"/>
      <c r="TIR1" s="47"/>
      <c r="TIS1" s="47"/>
      <c r="TIT1" s="47"/>
      <c r="TIU1" s="47"/>
      <c r="TIV1" s="47"/>
      <c r="TIW1" s="47"/>
      <c r="TIX1" s="47"/>
      <c r="TIY1" s="47"/>
      <c r="TIZ1" s="47"/>
      <c r="TJA1" s="47"/>
      <c r="TJB1" s="47"/>
      <c r="TJC1" s="47"/>
      <c r="TJD1" s="47"/>
      <c r="TJE1" s="47"/>
      <c r="TJF1" s="47"/>
      <c r="TJG1" s="47"/>
      <c r="TJH1" s="47"/>
      <c r="TJI1" s="47"/>
      <c r="TJJ1" s="47"/>
      <c r="TJK1" s="47"/>
      <c r="TJL1" s="47"/>
      <c r="TJM1" s="47"/>
      <c r="TJN1" s="47"/>
      <c r="TJO1" s="47"/>
      <c r="TJP1" s="47"/>
      <c r="TJQ1" s="47"/>
      <c r="TJR1" s="47"/>
      <c r="TJS1" s="47"/>
      <c r="TJT1" s="47"/>
      <c r="TJU1" s="47"/>
      <c r="TJV1" s="47"/>
      <c r="TJW1" s="47"/>
      <c r="TJX1" s="47"/>
      <c r="TJY1" s="47"/>
      <c r="TJZ1" s="47"/>
      <c r="TKA1" s="47"/>
      <c r="TKB1" s="47"/>
      <c r="TKC1" s="47"/>
      <c r="TKD1" s="47"/>
      <c r="TKE1" s="47"/>
      <c r="TKF1" s="47"/>
      <c r="TKG1" s="47"/>
      <c r="TKH1" s="47"/>
      <c r="TKI1" s="47"/>
      <c r="TKJ1" s="47"/>
      <c r="TKK1" s="47"/>
      <c r="TKL1" s="47"/>
      <c r="TKM1" s="47"/>
      <c r="TKN1" s="47"/>
      <c r="TKO1" s="47"/>
      <c r="TKP1" s="47"/>
      <c r="TKQ1" s="47"/>
      <c r="TKR1" s="47"/>
      <c r="TKS1" s="47"/>
      <c r="TKT1" s="47"/>
      <c r="TKU1" s="47"/>
      <c r="TKV1" s="47"/>
      <c r="TKW1" s="47"/>
      <c r="TKX1" s="47"/>
      <c r="TKY1" s="47"/>
      <c r="TKZ1" s="47"/>
      <c r="TLA1" s="47"/>
      <c r="TLB1" s="47"/>
      <c r="TLC1" s="47"/>
      <c r="TLD1" s="47"/>
      <c r="TLE1" s="47"/>
      <c r="TLF1" s="47"/>
      <c r="TLG1" s="47"/>
      <c r="TLH1" s="47"/>
      <c r="TLI1" s="47"/>
      <c r="TLJ1" s="47"/>
      <c r="TLK1" s="47"/>
      <c r="TLL1" s="47"/>
      <c r="TLM1" s="47"/>
      <c r="TLN1" s="47"/>
      <c r="TLO1" s="47"/>
      <c r="TLP1" s="47"/>
      <c r="TLQ1" s="47"/>
      <c r="TLR1" s="47"/>
      <c r="TLS1" s="47"/>
      <c r="TLT1" s="47"/>
      <c r="TLU1" s="47"/>
      <c r="TLV1" s="47"/>
      <c r="TLW1" s="47"/>
      <c r="TLX1" s="47"/>
      <c r="TLY1" s="47"/>
      <c r="TLZ1" s="47"/>
      <c r="TMA1" s="47"/>
      <c r="TMB1" s="47"/>
      <c r="TMC1" s="47"/>
      <c r="TMD1" s="47"/>
      <c r="TME1" s="47"/>
      <c r="TMF1" s="47"/>
      <c r="TMG1" s="47"/>
      <c r="TMH1" s="47"/>
      <c r="TMI1" s="47"/>
      <c r="TMJ1" s="47"/>
      <c r="TMK1" s="47"/>
      <c r="TML1" s="47"/>
      <c r="TMM1" s="47"/>
      <c r="TMN1" s="47"/>
      <c r="TMO1" s="47"/>
      <c r="TMP1" s="47"/>
      <c r="TMQ1" s="47"/>
      <c r="TMR1" s="47"/>
      <c r="TMS1" s="47"/>
      <c r="TMT1" s="47"/>
      <c r="TMU1" s="47"/>
      <c r="TMV1" s="47"/>
      <c r="TMW1" s="47"/>
      <c r="TMX1" s="47"/>
      <c r="TMY1" s="47"/>
      <c r="TMZ1" s="47"/>
      <c r="TNA1" s="47"/>
      <c r="TNB1" s="47"/>
      <c r="TNC1" s="47"/>
      <c r="TND1" s="47"/>
      <c r="TNE1" s="47"/>
      <c r="TNF1" s="47"/>
      <c r="TNG1" s="47"/>
      <c r="TNH1" s="47"/>
      <c r="TNI1" s="47"/>
      <c r="TNJ1" s="47"/>
      <c r="TNK1" s="47"/>
      <c r="TNL1" s="47"/>
      <c r="TNM1" s="47"/>
      <c r="TNN1" s="47"/>
      <c r="TNO1" s="47"/>
      <c r="TNP1" s="47"/>
      <c r="TNQ1" s="47"/>
      <c r="TNR1" s="47"/>
      <c r="TNS1" s="47"/>
      <c r="TNT1" s="47"/>
      <c r="TNU1" s="47"/>
      <c r="TNV1" s="47"/>
      <c r="TNW1" s="47"/>
      <c r="TNX1" s="47"/>
      <c r="TNY1" s="47"/>
      <c r="TNZ1" s="47"/>
      <c r="TOA1" s="47"/>
      <c r="TOB1" s="47"/>
      <c r="TOC1" s="47"/>
      <c r="TOD1" s="47"/>
      <c r="TOE1" s="47"/>
      <c r="TOF1" s="47"/>
      <c r="TOG1" s="47"/>
      <c r="TOH1" s="47"/>
      <c r="TOI1" s="47"/>
      <c r="TOJ1" s="47"/>
      <c r="TOK1" s="47"/>
      <c r="TOL1" s="47"/>
      <c r="TOM1" s="47"/>
      <c r="TON1" s="47"/>
      <c r="TOO1" s="47"/>
      <c r="TOP1" s="47"/>
      <c r="TOQ1" s="47"/>
      <c r="TOR1" s="47"/>
      <c r="TOS1" s="47"/>
      <c r="TOT1" s="47"/>
      <c r="TOU1" s="47"/>
      <c r="TOV1" s="47"/>
      <c r="TOW1" s="47"/>
      <c r="TOX1" s="47"/>
      <c r="TOY1" s="47"/>
      <c r="TOZ1" s="47"/>
      <c r="TPA1" s="47"/>
      <c r="TPB1" s="47"/>
      <c r="TPC1" s="47"/>
      <c r="TPD1" s="47"/>
      <c r="TPE1" s="47"/>
      <c r="TPF1" s="47"/>
      <c r="TPG1" s="47"/>
      <c r="TPH1" s="47"/>
      <c r="TPI1" s="47"/>
      <c r="TPJ1" s="47"/>
      <c r="TPK1" s="47"/>
      <c r="TPL1" s="47"/>
      <c r="TPM1" s="47"/>
      <c r="TPN1" s="47"/>
      <c r="TPO1" s="47"/>
      <c r="TPP1" s="47"/>
      <c r="TPQ1" s="47"/>
      <c r="TPR1" s="47"/>
      <c r="TPS1" s="47"/>
      <c r="TPT1" s="47"/>
      <c r="TPU1" s="47"/>
      <c r="TPV1" s="47"/>
      <c r="TPW1" s="47"/>
      <c r="TPX1" s="47"/>
      <c r="TPY1" s="47"/>
      <c r="TPZ1" s="47"/>
      <c r="TQA1" s="47"/>
      <c r="TQB1" s="47"/>
      <c r="TQC1" s="47"/>
      <c r="TQD1" s="47"/>
      <c r="TQE1" s="47"/>
      <c r="TQF1" s="47"/>
      <c r="TQG1" s="47"/>
      <c r="TQH1" s="47"/>
      <c r="TQI1" s="47"/>
      <c r="TQJ1" s="47"/>
      <c r="TQK1" s="47"/>
      <c r="TQL1" s="47"/>
      <c r="TQM1" s="47"/>
      <c r="TQN1" s="47"/>
      <c r="TQO1" s="47"/>
      <c r="TQP1" s="47"/>
      <c r="TQQ1" s="47"/>
      <c r="TQR1" s="47"/>
      <c r="TQS1" s="47"/>
      <c r="TQT1" s="47"/>
      <c r="TQU1" s="47"/>
      <c r="TQV1" s="47"/>
      <c r="TQW1" s="47"/>
      <c r="TQX1" s="47"/>
      <c r="TQY1" s="47"/>
      <c r="TQZ1" s="47"/>
      <c r="TRA1" s="47"/>
      <c r="TRB1" s="47"/>
      <c r="TRC1" s="47"/>
      <c r="TRD1" s="47"/>
      <c r="TRE1" s="47"/>
      <c r="TRF1" s="47"/>
      <c r="TRG1" s="47"/>
      <c r="TRH1" s="47"/>
      <c r="TRI1" s="47"/>
      <c r="TRJ1" s="47"/>
      <c r="TRK1" s="47"/>
      <c r="TRL1" s="47"/>
      <c r="TRM1" s="47"/>
      <c r="TRN1" s="47"/>
      <c r="TRO1" s="47"/>
      <c r="TRP1" s="47"/>
      <c r="TRQ1" s="47"/>
      <c r="TRR1" s="47"/>
      <c r="TRS1" s="47"/>
      <c r="TRT1" s="47"/>
      <c r="TRU1" s="47"/>
      <c r="TRV1" s="47"/>
      <c r="TRW1" s="47"/>
      <c r="TRX1" s="47"/>
      <c r="TRY1" s="47"/>
      <c r="TRZ1" s="47"/>
      <c r="TSA1" s="47"/>
      <c r="TSB1" s="47"/>
      <c r="TSC1" s="47"/>
      <c r="TSD1" s="47"/>
      <c r="TSE1" s="47"/>
      <c r="TSF1" s="47"/>
      <c r="TSG1" s="47"/>
      <c r="TSH1" s="47"/>
      <c r="TSI1" s="47"/>
      <c r="TSJ1" s="47"/>
      <c r="TSK1" s="47"/>
      <c r="TSL1" s="47"/>
      <c r="TSM1" s="47"/>
      <c r="TSN1" s="47"/>
      <c r="TSO1" s="47"/>
      <c r="TSP1" s="47"/>
      <c r="TSQ1" s="47"/>
      <c r="TSR1" s="47"/>
      <c r="TSS1" s="47"/>
      <c r="TST1" s="47"/>
      <c r="TSU1" s="47"/>
      <c r="TSV1" s="47"/>
      <c r="TSW1" s="47"/>
      <c r="TSX1" s="47"/>
      <c r="TSY1" s="47"/>
      <c r="TSZ1" s="47"/>
      <c r="TTA1" s="47"/>
      <c r="TTB1" s="47"/>
      <c r="TTC1" s="47"/>
      <c r="TTD1" s="47"/>
      <c r="TTE1" s="47"/>
      <c r="TTF1" s="47"/>
      <c r="TTG1" s="47"/>
      <c r="TTH1" s="47"/>
      <c r="TTI1" s="47"/>
      <c r="TTJ1" s="47"/>
      <c r="TTK1" s="47"/>
      <c r="TTL1" s="47"/>
      <c r="TTM1" s="47"/>
      <c r="TTN1" s="47"/>
      <c r="TTO1" s="47"/>
      <c r="TTP1" s="47"/>
      <c r="TTQ1" s="47"/>
      <c r="TTR1" s="47"/>
      <c r="TTS1" s="47"/>
      <c r="TTT1" s="47"/>
      <c r="TTU1" s="47"/>
      <c r="TTV1" s="47"/>
      <c r="TTW1" s="47"/>
      <c r="TTX1" s="47"/>
      <c r="TTY1" s="47"/>
      <c r="TTZ1" s="47"/>
      <c r="TUA1" s="47"/>
      <c r="TUB1" s="47"/>
      <c r="TUC1" s="47"/>
      <c r="TUD1" s="47"/>
      <c r="TUE1" s="47"/>
      <c r="TUF1" s="47"/>
      <c r="TUG1" s="47"/>
      <c r="TUH1" s="47"/>
      <c r="TUI1" s="47"/>
      <c r="TUJ1" s="47"/>
      <c r="TUK1" s="47"/>
      <c r="TUL1" s="47"/>
      <c r="TUM1" s="47"/>
      <c r="TUN1" s="47"/>
      <c r="TUO1" s="47"/>
      <c r="TUP1" s="47"/>
      <c r="TUQ1" s="47"/>
      <c r="TUR1" s="47"/>
      <c r="TUS1" s="47"/>
      <c r="TUT1" s="47"/>
      <c r="TUU1" s="47"/>
      <c r="TUV1" s="47"/>
      <c r="TUW1" s="47"/>
      <c r="TUX1" s="47"/>
      <c r="TUY1" s="47"/>
      <c r="TUZ1" s="47"/>
      <c r="TVA1" s="47"/>
      <c r="TVB1" s="47"/>
      <c r="TVC1" s="47"/>
      <c r="TVD1" s="47"/>
      <c r="TVE1" s="47"/>
      <c r="TVF1" s="47"/>
      <c r="TVG1" s="47"/>
      <c r="TVH1" s="47"/>
      <c r="TVI1" s="47"/>
      <c r="TVJ1" s="47"/>
      <c r="TVK1" s="47"/>
      <c r="TVL1" s="47"/>
      <c r="TVM1" s="47"/>
      <c r="TVN1" s="47"/>
      <c r="TVO1" s="47"/>
      <c r="TVP1" s="47"/>
      <c r="TVQ1" s="47"/>
      <c r="TVR1" s="47"/>
      <c r="TVS1" s="47"/>
      <c r="TVT1" s="47"/>
      <c r="TVU1" s="47"/>
      <c r="TVV1" s="47"/>
      <c r="TVW1" s="47"/>
      <c r="TVX1" s="47"/>
      <c r="TVY1" s="47"/>
      <c r="TVZ1" s="47"/>
      <c r="TWA1" s="47"/>
      <c r="TWB1" s="47"/>
      <c r="TWC1" s="47"/>
      <c r="TWD1" s="47"/>
      <c r="TWE1" s="47"/>
      <c r="TWF1" s="47"/>
      <c r="TWG1" s="47"/>
      <c r="TWH1" s="47"/>
      <c r="TWI1" s="47"/>
      <c r="TWJ1" s="47"/>
      <c r="TWK1" s="47"/>
      <c r="TWL1" s="47"/>
      <c r="TWM1" s="47"/>
      <c r="TWN1" s="47"/>
      <c r="TWO1" s="47"/>
      <c r="TWP1" s="47"/>
      <c r="TWQ1" s="47"/>
      <c r="TWR1" s="47"/>
      <c r="TWS1" s="47"/>
      <c r="TWT1" s="47"/>
      <c r="TWU1" s="47"/>
      <c r="TWV1" s="47"/>
      <c r="TWW1" s="47"/>
      <c r="TWX1" s="47"/>
      <c r="TWY1" s="47"/>
      <c r="TWZ1" s="47"/>
      <c r="TXA1" s="47"/>
      <c r="TXB1" s="47"/>
      <c r="TXC1" s="47"/>
      <c r="TXD1" s="47"/>
      <c r="TXE1" s="47"/>
      <c r="TXF1" s="47"/>
      <c r="TXG1" s="47"/>
      <c r="TXH1" s="47"/>
      <c r="TXI1" s="47"/>
      <c r="TXJ1" s="47"/>
      <c r="TXK1" s="47"/>
      <c r="TXL1" s="47"/>
      <c r="TXM1" s="47"/>
      <c r="TXN1" s="47"/>
      <c r="TXO1" s="47"/>
      <c r="TXP1" s="47"/>
      <c r="TXQ1" s="47"/>
      <c r="TXR1" s="47"/>
      <c r="TXS1" s="47"/>
      <c r="TXT1" s="47"/>
      <c r="TXU1" s="47"/>
      <c r="TXV1" s="47"/>
      <c r="TXW1" s="47"/>
      <c r="TXX1" s="47"/>
      <c r="TXY1" s="47"/>
      <c r="TXZ1" s="47"/>
      <c r="TYA1" s="47"/>
      <c r="TYB1" s="47"/>
      <c r="TYC1" s="47"/>
      <c r="TYD1" s="47"/>
      <c r="TYE1" s="47"/>
      <c r="TYF1" s="47"/>
      <c r="TYG1" s="47"/>
      <c r="TYH1" s="47"/>
      <c r="TYI1" s="47"/>
      <c r="TYJ1" s="47"/>
      <c r="TYK1" s="47"/>
      <c r="TYL1" s="47"/>
      <c r="TYM1" s="47"/>
      <c r="TYN1" s="47"/>
      <c r="TYO1" s="47"/>
      <c r="TYP1" s="47"/>
      <c r="TYQ1" s="47"/>
      <c r="TYR1" s="47"/>
      <c r="TYS1" s="47"/>
      <c r="TYT1" s="47"/>
      <c r="TYU1" s="47"/>
      <c r="TYV1" s="47"/>
      <c r="TYW1" s="47"/>
      <c r="TYX1" s="47"/>
      <c r="TYY1" s="47"/>
      <c r="TYZ1" s="47"/>
      <c r="TZA1" s="47"/>
      <c r="TZB1" s="47"/>
      <c r="TZC1" s="47"/>
      <c r="TZD1" s="47"/>
      <c r="TZE1" s="47"/>
      <c r="TZF1" s="47"/>
      <c r="TZG1" s="47"/>
      <c r="TZH1" s="47"/>
      <c r="TZI1" s="47"/>
      <c r="TZJ1" s="47"/>
      <c r="TZK1" s="47"/>
      <c r="TZL1" s="47"/>
      <c r="TZM1" s="47"/>
      <c r="TZN1" s="47"/>
      <c r="TZO1" s="47"/>
      <c r="TZP1" s="47"/>
      <c r="TZQ1" s="47"/>
      <c r="TZR1" s="47"/>
      <c r="TZS1" s="47"/>
      <c r="TZT1" s="47"/>
      <c r="TZU1" s="47"/>
      <c r="TZV1" s="47"/>
      <c r="TZW1" s="47"/>
      <c r="TZX1" s="47"/>
      <c r="TZY1" s="47"/>
      <c r="TZZ1" s="47"/>
      <c r="UAA1" s="47"/>
      <c r="UAB1" s="47"/>
      <c r="UAC1" s="47"/>
      <c r="UAD1" s="47"/>
      <c r="UAE1" s="47"/>
      <c r="UAF1" s="47"/>
      <c r="UAG1" s="47"/>
      <c r="UAH1" s="47"/>
      <c r="UAI1" s="47"/>
      <c r="UAJ1" s="47"/>
      <c r="UAK1" s="47"/>
      <c r="UAL1" s="47"/>
      <c r="UAM1" s="47"/>
      <c r="UAN1" s="47"/>
      <c r="UAO1" s="47"/>
      <c r="UAP1" s="47"/>
      <c r="UAQ1" s="47"/>
      <c r="UAR1" s="47"/>
      <c r="UAS1" s="47"/>
      <c r="UAT1" s="47"/>
      <c r="UAU1" s="47"/>
      <c r="UAV1" s="47"/>
      <c r="UAW1" s="47"/>
      <c r="UAX1" s="47"/>
      <c r="UAY1" s="47"/>
      <c r="UAZ1" s="47"/>
      <c r="UBA1" s="47"/>
      <c r="UBB1" s="47"/>
      <c r="UBC1" s="47"/>
      <c r="UBD1" s="47"/>
      <c r="UBE1" s="47"/>
      <c r="UBF1" s="47"/>
      <c r="UBG1" s="47"/>
      <c r="UBH1" s="47"/>
      <c r="UBI1" s="47"/>
      <c r="UBJ1" s="47"/>
      <c r="UBK1" s="47"/>
      <c r="UBL1" s="47"/>
      <c r="UBM1" s="47"/>
      <c r="UBN1" s="47"/>
      <c r="UBO1" s="47"/>
      <c r="UBP1" s="47"/>
      <c r="UBQ1" s="47"/>
      <c r="UBR1" s="47"/>
      <c r="UBS1" s="47"/>
      <c r="UBT1" s="47"/>
      <c r="UBU1" s="47"/>
      <c r="UBV1" s="47"/>
      <c r="UBW1" s="47"/>
      <c r="UBX1" s="47"/>
      <c r="UBY1" s="47"/>
      <c r="UBZ1" s="47"/>
      <c r="UCA1" s="47"/>
      <c r="UCB1" s="47"/>
      <c r="UCC1" s="47"/>
      <c r="UCD1" s="47"/>
      <c r="UCE1" s="47"/>
      <c r="UCF1" s="47"/>
      <c r="UCG1" s="47"/>
      <c r="UCH1" s="47"/>
      <c r="UCI1" s="47"/>
      <c r="UCJ1" s="47"/>
      <c r="UCK1" s="47"/>
      <c r="UCL1" s="47"/>
      <c r="UCM1" s="47"/>
      <c r="UCN1" s="47"/>
      <c r="UCO1" s="47"/>
      <c r="UCP1" s="47"/>
      <c r="UCQ1" s="47"/>
      <c r="UCR1" s="47"/>
      <c r="UCS1" s="47"/>
      <c r="UCT1" s="47"/>
      <c r="UCU1" s="47"/>
      <c r="UCV1" s="47"/>
      <c r="UCW1" s="47"/>
      <c r="UCX1" s="47"/>
      <c r="UCY1" s="47"/>
      <c r="UCZ1" s="47"/>
      <c r="UDA1" s="47"/>
      <c r="UDB1" s="47"/>
      <c r="UDC1" s="47"/>
      <c r="UDD1" s="47"/>
      <c r="UDE1" s="47"/>
      <c r="UDF1" s="47"/>
      <c r="UDG1" s="47"/>
      <c r="UDH1" s="47"/>
      <c r="UDI1" s="47"/>
      <c r="UDJ1" s="47"/>
      <c r="UDK1" s="47"/>
      <c r="UDL1" s="47"/>
      <c r="UDM1" s="47"/>
      <c r="UDN1" s="47"/>
      <c r="UDO1" s="47"/>
      <c r="UDP1" s="47"/>
      <c r="UDQ1" s="47"/>
      <c r="UDR1" s="47"/>
      <c r="UDS1" s="47"/>
      <c r="UDT1" s="47"/>
      <c r="UDU1" s="47"/>
      <c r="UDV1" s="47"/>
      <c r="UDW1" s="47"/>
      <c r="UDX1" s="47"/>
      <c r="UDY1" s="47"/>
      <c r="UDZ1" s="47"/>
      <c r="UEA1" s="47"/>
      <c r="UEB1" s="47"/>
      <c r="UEC1" s="47"/>
      <c r="UED1" s="47"/>
      <c r="UEE1" s="47"/>
      <c r="UEF1" s="47"/>
      <c r="UEG1" s="47"/>
      <c r="UEH1" s="47"/>
      <c r="UEI1" s="47"/>
      <c r="UEJ1" s="47"/>
      <c r="UEK1" s="47"/>
      <c r="UEL1" s="47"/>
      <c r="UEM1" s="47"/>
      <c r="UEN1" s="47"/>
      <c r="UEO1" s="47"/>
      <c r="UEP1" s="47"/>
      <c r="UEQ1" s="47"/>
      <c r="UER1" s="47"/>
      <c r="UES1" s="47"/>
      <c r="UET1" s="47"/>
      <c r="UEU1" s="47"/>
      <c r="UEV1" s="47"/>
      <c r="UEW1" s="47"/>
      <c r="UEX1" s="47"/>
      <c r="UEY1" s="47"/>
      <c r="UEZ1" s="47"/>
      <c r="UFA1" s="47"/>
      <c r="UFB1" s="47"/>
      <c r="UFC1" s="47"/>
      <c r="UFD1" s="47"/>
      <c r="UFE1" s="47"/>
      <c r="UFF1" s="47"/>
      <c r="UFG1" s="47"/>
      <c r="UFH1" s="47"/>
      <c r="UFI1" s="47"/>
      <c r="UFJ1" s="47"/>
      <c r="UFK1" s="47"/>
      <c r="UFL1" s="47"/>
      <c r="UFM1" s="47"/>
      <c r="UFN1" s="47"/>
      <c r="UFO1" s="47"/>
      <c r="UFP1" s="47"/>
      <c r="UFQ1" s="47"/>
      <c r="UFR1" s="47"/>
      <c r="UFS1" s="47"/>
      <c r="UFT1" s="47"/>
      <c r="UFU1" s="47"/>
      <c r="UFV1" s="47"/>
      <c r="UFW1" s="47"/>
      <c r="UFX1" s="47"/>
      <c r="UFY1" s="47"/>
      <c r="UFZ1" s="47"/>
      <c r="UGA1" s="47"/>
      <c r="UGB1" s="47"/>
      <c r="UGC1" s="47"/>
      <c r="UGD1" s="47"/>
      <c r="UGE1" s="47"/>
      <c r="UGF1" s="47"/>
      <c r="UGG1" s="47"/>
      <c r="UGH1" s="47"/>
      <c r="UGI1" s="47"/>
      <c r="UGJ1" s="47"/>
      <c r="UGK1" s="47"/>
      <c r="UGL1" s="47"/>
      <c r="UGM1" s="47"/>
      <c r="UGN1" s="47"/>
      <c r="UGO1" s="47"/>
      <c r="UGP1" s="47"/>
      <c r="UGQ1" s="47"/>
      <c r="UGR1" s="47"/>
      <c r="UGS1" s="47"/>
      <c r="UGT1" s="47"/>
      <c r="UGU1" s="47"/>
      <c r="UGV1" s="47"/>
      <c r="UGW1" s="47"/>
      <c r="UGX1" s="47"/>
      <c r="UGY1" s="47"/>
      <c r="UGZ1" s="47"/>
      <c r="UHA1" s="47"/>
      <c r="UHB1" s="47"/>
      <c r="UHC1" s="47"/>
      <c r="UHD1" s="47"/>
      <c r="UHE1" s="47"/>
      <c r="UHF1" s="47"/>
      <c r="UHG1" s="47"/>
      <c r="UHH1" s="47"/>
      <c r="UHI1" s="47"/>
      <c r="UHJ1" s="47"/>
      <c r="UHK1" s="47"/>
      <c r="UHL1" s="47"/>
      <c r="UHM1" s="47"/>
      <c r="UHN1" s="47"/>
      <c r="UHO1" s="47"/>
      <c r="UHP1" s="47"/>
      <c r="UHQ1" s="47"/>
      <c r="UHR1" s="47"/>
      <c r="UHS1" s="47"/>
      <c r="UHT1" s="47"/>
      <c r="UHU1" s="47"/>
      <c r="UHV1" s="47"/>
      <c r="UHW1" s="47"/>
      <c r="UHX1" s="47"/>
      <c r="UHY1" s="47"/>
      <c r="UHZ1" s="47"/>
      <c r="UIA1" s="47"/>
      <c r="UIB1" s="47"/>
      <c r="UIC1" s="47"/>
      <c r="UID1" s="47"/>
      <c r="UIE1" s="47"/>
      <c r="UIF1" s="47"/>
      <c r="UIG1" s="47"/>
      <c r="UIH1" s="47"/>
      <c r="UII1" s="47"/>
      <c r="UIJ1" s="47"/>
      <c r="UIK1" s="47"/>
      <c r="UIL1" s="47"/>
      <c r="UIM1" s="47"/>
      <c r="UIN1" s="47"/>
      <c r="UIO1" s="47"/>
      <c r="UIP1" s="47"/>
      <c r="UIQ1" s="47"/>
      <c r="UIR1" s="47"/>
      <c r="UIS1" s="47"/>
      <c r="UIT1" s="47"/>
      <c r="UIU1" s="47"/>
      <c r="UIV1" s="47"/>
      <c r="UIW1" s="47"/>
      <c r="UIX1" s="47"/>
      <c r="UIY1" s="47"/>
      <c r="UIZ1" s="47"/>
      <c r="UJA1" s="47"/>
      <c r="UJB1" s="47"/>
      <c r="UJC1" s="47"/>
      <c r="UJD1" s="47"/>
      <c r="UJE1" s="47"/>
      <c r="UJF1" s="47"/>
      <c r="UJG1" s="47"/>
      <c r="UJH1" s="47"/>
      <c r="UJI1" s="47"/>
      <c r="UJJ1" s="47"/>
      <c r="UJK1" s="47"/>
      <c r="UJL1" s="47"/>
      <c r="UJM1" s="47"/>
      <c r="UJN1" s="47"/>
      <c r="UJO1" s="47"/>
      <c r="UJP1" s="47"/>
      <c r="UJQ1" s="47"/>
      <c r="UJR1" s="47"/>
      <c r="UJS1" s="47"/>
      <c r="UJT1" s="47"/>
      <c r="UJU1" s="47"/>
      <c r="UJV1" s="47"/>
      <c r="UJW1" s="47"/>
      <c r="UJX1" s="47"/>
      <c r="UJY1" s="47"/>
      <c r="UJZ1" s="47"/>
      <c r="UKA1" s="47"/>
      <c r="UKB1" s="47"/>
      <c r="UKC1" s="47"/>
      <c r="UKD1" s="47"/>
      <c r="UKE1" s="47"/>
      <c r="UKF1" s="47"/>
      <c r="UKG1" s="47"/>
      <c r="UKH1" s="47"/>
      <c r="UKI1" s="47"/>
      <c r="UKJ1" s="47"/>
      <c r="UKK1" s="47"/>
      <c r="UKL1" s="47"/>
      <c r="UKM1" s="47"/>
      <c r="UKN1" s="47"/>
      <c r="UKO1" s="47"/>
      <c r="UKP1" s="47"/>
      <c r="UKQ1" s="47"/>
      <c r="UKR1" s="47"/>
      <c r="UKS1" s="47"/>
      <c r="UKT1" s="47"/>
      <c r="UKU1" s="47"/>
      <c r="UKV1" s="47"/>
      <c r="UKW1" s="47"/>
      <c r="UKX1" s="47"/>
      <c r="UKY1" s="47"/>
      <c r="UKZ1" s="47"/>
      <c r="ULA1" s="47"/>
      <c r="ULB1" s="47"/>
      <c r="ULC1" s="47"/>
      <c r="ULD1" s="47"/>
      <c r="ULE1" s="47"/>
      <c r="ULF1" s="47"/>
      <c r="ULG1" s="47"/>
      <c r="ULH1" s="47"/>
      <c r="ULI1" s="47"/>
      <c r="ULJ1" s="47"/>
      <c r="ULK1" s="47"/>
      <c r="ULL1" s="47"/>
      <c r="ULM1" s="47"/>
      <c r="ULN1" s="47"/>
      <c r="ULO1" s="47"/>
      <c r="ULP1" s="47"/>
      <c r="ULQ1" s="47"/>
      <c r="ULR1" s="47"/>
      <c r="ULS1" s="47"/>
      <c r="ULT1" s="47"/>
      <c r="ULU1" s="47"/>
      <c r="ULV1" s="47"/>
      <c r="ULW1" s="47"/>
      <c r="ULX1" s="47"/>
      <c r="ULY1" s="47"/>
      <c r="ULZ1" s="47"/>
      <c r="UMA1" s="47"/>
      <c r="UMB1" s="47"/>
      <c r="UMC1" s="47"/>
      <c r="UMD1" s="47"/>
      <c r="UME1" s="47"/>
      <c r="UMF1" s="47"/>
      <c r="UMG1" s="47"/>
      <c r="UMH1" s="47"/>
      <c r="UMI1" s="47"/>
      <c r="UMJ1" s="47"/>
      <c r="UMK1" s="47"/>
      <c r="UML1" s="47"/>
      <c r="UMM1" s="47"/>
      <c r="UMN1" s="47"/>
      <c r="UMO1" s="47"/>
      <c r="UMP1" s="47"/>
      <c r="UMQ1" s="47"/>
      <c r="UMR1" s="47"/>
      <c r="UMS1" s="47"/>
      <c r="UMT1" s="47"/>
      <c r="UMU1" s="47"/>
      <c r="UMV1" s="47"/>
      <c r="UMW1" s="47"/>
      <c r="UMX1" s="47"/>
      <c r="UMY1" s="47"/>
      <c r="UMZ1" s="47"/>
      <c r="UNA1" s="47"/>
      <c r="UNB1" s="47"/>
      <c r="UNC1" s="47"/>
      <c r="UND1" s="47"/>
      <c r="UNE1" s="47"/>
      <c r="UNF1" s="47"/>
      <c r="UNG1" s="47"/>
      <c r="UNH1" s="47"/>
      <c r="UNI1" s="47"/>
      <c r="UNJ1" s="47"/>
      <c r="UNK1" s="47"/>
      <c r="UNL1" s="47"/>
      <c r="UNM1" s="47"/>
      <c r="UNN1" s="47"/>
      <c r="UNO1" s="47"/>
      <c r="UNP1" s="47"/>
      <c r="UNQ1" s="47"/>
      <c r="UNR1" s="47"/>
      <c r="UNS1" s="47"/>
      <c r="UNT1" s="47"/>
      <c r="UNU1" s="47"/>
      <c r="UNV1" s="47"/>
      <c r="UNW1" s="47"/>
      <c r="UNX1" s="47"/>
      <c r="UNY1" s="47"/>
      <c r="UNZ1" s="47"/>
      <c r="UOA1" s="47"/>
      <c r="UOB1" s="47"/>
      <c r="UOC1" s="47"/>
      <c r="UOD1" s="47"/>
      <c r="UOE1" s="47"/>
      <c r="UOF1" s="47"/>
      <c r="UOG1" s="47"/>
      <c r="UOH1" s="47"/>
      <c r="UOI1" s="47"/>
      <c r="UOJ1" s="47"/>
      <c r="UOK1" s="47"/>
      <c r="UOL1" s="47"/>
      <c r="UOM1" s="47"/>
      <c r="UON1" s="47"/>
      <c r="UOO1" s="47"/>
      <c r="UOP1" s="47"/>
      <c r="UOQ1" s="47"/>
      <c r="UOR1" s="47"/>
      <c r="UOS1" s="47"/>
      <c r="UOT1" s="47"/>
      <c r="UOU1" s="47"/>
      <c r="UOV1" s="47"/>
      <c r="UOW1" s="47"/>
      <c r="UOX1" s="47"/>
      <c r="UOY1" s="47"/>
      <c r="UOZ1" s="47"/>
      <c r="UPA1" s="47"/>
      <c r="UPB1" s="47"/>
      <c r="UPC1" s="47"/>
      <c r="UPD1" s="47"/>
      <c r="UPE1" s="47"/>
      <c r="UPF1" s="47"/>
      <c r="UPG1" s="47"/>
      <c r="UPH1" s="47"/>
      <c r="UPI1" s="47"/>
      <c r="UPJ1" s="47"/>
      <c r="UPK1" s="47"/>
      <c r="UPL1" s="47"/>
      <c r="UPM1" s="47"/>
      <c r="UPN1" s="47"/>
      <c r="UPO1" s="47"/>
      <c r="UPP1" s="47"/>
      <c r="UPQ1" s="47"/>
      <c r="UPR1" s="47"/>
      <c r="UPS1" s="47"/>
      <c r="UPT1" s="47"/>
      <c r="UPU1" s="47"/>
      <c r="UPV1" s="47"/>
      <c r="UPW1" s="47"/>
      <c r="UPX1" s="47"/>
      <c r="UPY1" s="47"/>
      <c r="UPZ1" s="47"/>
      <c r="UQA1" s="47"/>
      <c r="UQB1" s="47"/>
      <c r="UQC1" s="47"/>
      <c r="UQD1" s="47"/>
      <c r="UQE1" s="47"/>
      <c r="UQF1" s="47"/>
      <c r="UQG1" s="47"/>
      <c r="UQH1" s="47"/>
      <c r="UQI1" s="47"/>
      <c r="UQJ1" s="47"/>
      <c r="UQK1" s="47"/>
      <c r="UQL1" s="47"/>
      <c r="UQM1" s="47"/>
      <c r="UQN1" s="47"/>
      <c r="UQO1" s="47"/>
      <c r="UQP1" s="47"/>
      <c r="UQQ1" s="47"/>
      <c r="UQR1" s="47"/>
      <c r="UQS1" s="47"/>
      <c r="UQT1" s="47"/>
      <c r="UQU1" s="47"/>
      <c r="UQV1" s="47"/>
      <c r="UQW1" s="47"/>
      <c r="UQX1" s="47"/>
      <c r="UQY1" s="47"/>
      <c r="UQZ1" s="47"/>
      <c r="URA1" s="47"/>
      <c r="URB1" s="47"/>
      <c r="URC1" s="47"/>
      <c r="URD1" s="47"/>
      <c r="URE1" s="47"/>
      <c r="URF1" s="47"/>
      <c r="URG1" s="47"/>
      <c r="URH1" s="47"/>
      <c r="URI1" s="47"/>
      <c r="URJ1" s="47"/>
      <c r="URK1" s="47"/>
      <c r="URL1" s="47"/>
      <c r="URM1" s="47"/>
      <c r="URN1" s="47"/>
      <c r="URO1" s="47"/>
      <c r="URP1" s="47"/>
      <c r="URQ1" s="47"/>
      <c r="URR1" s="47"/>
      <c r="URS1" s="47"/>
      <c r="URT1" s="47"/>
      <c r="URU1" s="47"/>
      <c r="URV1" s="47"/>
      <c r="URW1" s="47"/>
      <c r="URX1" s="47"/>
      <c r="URY1" s="47"/>
      <c r="URZ1" s="47"/>
      <c r="USA1" s="47"/>
      <c r="USB1" s="47"/>
      <c r="USC1" s="47"/>
      <c r="USD1" s="47"/>
      <c r="USE1" s="47"/>
      <c r="USF1" s="47"/>
      <c r="USG1" s="47"/>
      <c r="USH1" s="47"/>
      <c r="USI1" s="47"/>
      <c r="USJ1" s="47"/>
      <c r="USK1" s="47"/>
      <c r="USL1" s="47"/>
      <c r="USM1" s="47"/>
      <c r="USN1" s="47"/>
      <c r="USO1" s="47"/>
      <c r="USP1" s="47"/>
      <c r="USQ1" s="47"/>
      <c r="USR1" s="47"/>
      <c r="USS1" s="47"/>
      <c r="UST1" s="47"/>
      <c r="USU1" s="47"/>
      <c r="USV1" s="47"/>
      <c r="USW1" s="47"/>
      <c r="USX1" s="47"/>
      <c r="USY1" s="47"/>
      <c r="USZ1" s="47"/>
      <c r="UTA1" s="47"/>
      <c r="UTB1" s="47"/>
      <c r="UTC1" s="47"/>
      <c r="UTD1" s="47"/>
      <c r="UTE1" s="47"/>
      <c r="UTF1" s="47"/>
      <c r="UTG1" s="47"/>
      <c r="UTH1" s="47"/>
      <c r="UTI1" s="47"/>
      <c r="UTJ1" s="47"/>
      <c r="UTK1" s="47"/>
      <c r="UTL1" s="47"/>
      <c r="UTM1" s="47"/>
      <c r="UTN1" s="47"/>
      <c r="UTO1" s="47"/>
      <c r="UTP1" s="47"/>
      <c r="UTQ1" s="47"/>
      <c r="UTR1" s="47"/>
      <c r="UTS1" s="47"/>
      <c r="UTT1" s="47"/>
      <c r="UTU1" s="47"/>
      <c r="UTV1" s="47"/>
      <c r="UTW1" s="47"/>
      <c r="UTX1" s="47"/>
      <c r="UTY1" s="47"/>
      <c r="UTZ1" s="47"/>
      <c r="UUA1" s="47"/>
      <c r="UUB1" s="47"/>
      <c r="UUC1" s="47"/>
      <c r="UUD1" s="47"/>
      <c r="UUE1" s="47"/>
      <c r="UUF1" s="47"/>
      <c r="UUG1" s="47"/>
      <c r="UUH1" s="47"/>
      <c r="UUI1" s="47"/>
      <c r="UUJ1" s="47"/>
      <c r="UUK1" s="47"/>
      <c r="UUL1" s="47"/>
      <c r="UUM1" s="47"/>
      <c r="UUN1" s="47"/>
      <c r="UUO1" s="47"/>
      <c r="UUP1" s="47"/>
      <c r="UUQ1" s="47"/>
      <c r="UUR1" s="47"/>
      <c r="UUS1" s="47"/>
      <c r="UUT1" s="47"/>
      <c r="UUU1" s="47"/>
      <c r="UUV1" s="47"/>
      <c r="UUW1" s="47"/>
      <c r="UUX1" s="47"/>
      <c r="UUY1" s="47"/>
      <c r="UUZ1" s="47"/>
      <c r="UVA1" s="47"/>
      <c r="UVB1" s="47"/>
      <c r="UVC1" s="47"/>
      <c r="UVD1" s="47"/>
      <c r="UVE1" s="47"/>
      <c r="UVF1" s="47"/>
      <c r="UVG1" s="47"/>
      <c r="UVH1" s="47"/>
      <c r="UVI1" s="47"/>
      <c r="UVJ1" s="47"/>
      <c r="UVK1" s="47"/>
      <c r="UVL1" s="47"/>
      <c r="UVM1" s="47"/>
      <c r="UVN1" s="47"/>
      <c r="UVO1" s="47"/>
      <c r="UVP1" s="47"/>
      <c r="UVQ1" s="47"/>
      <c r="UVR1" s="47"/>
      <c r="UVS1" s="47"/>
      <c r="UVT1" s="47"/>
      <c r="UVU1" s="47"/>
      <c r="UVV1" s="47"/>
      <c r="UVW1" s="47"/>
      <c r="UVX1" s="47"/>
      <c r="UVY1" s="47"/>
      <c r="UVZ1" s="47"/>
      <c r="UWA1" s="47"/>
      <c r="UWB1" s="47"/>
      <c r="UWC1" s="47"/>
      <c r="UWD1" s="47"/>
      <c r="UWE1" s="47"/>
      <c r="UWF1" s="47"/>
      <c r="UWG1" s="47"/>
      <c r="UWH1" s="47"/>
      <c r="UWI1" s="47"/>
      <c r="UWJ1" s="47"/>
      <c r="UWK1" s="47"/>
      <c r="UWL1" s="47"/>
      <c r="UWM1" s="47"/>
      <c r="UWN1" s="47"/>
      <c r="UWO1" s="47"/>
      <c r="UWP1" s="47"/>
      <c r="UWQ1" s="47"/>
      <c r="UWR1" s="47"/>
      <c r="UWS1" s="47"/>
      <c r="UWT1" s="47"/>
      <c r="UWU1" s="47"/>
      <c r="UWV1" s="47"/>
      <c r="UWW1" s="47"/>
      <c r="UWX1" s="47"/>
      <c r="UWY1" s="47"/>
      <c r="UWZ1" s="47"/>
      <c r="UXA1" s="47"/>
      <c r="UXB1" s="47"/>
      <c r="UXC1" s="47"/>
      <c r="UXD1" s="47"/>
      <c r="UXE1" s="47"/>
      <c r="UXF1" s="47"/>
      <c r="UXG1" s="47"/>
      <c r="UXH1" s="47"/>
      <c r="UXI1" s="47"/>
      <c r="UXJ1" s="47"/>
      <c r="UXK1" s="47"/>
      <c r="UXL1" s="47"/>
      <c r="UXM1" s="47"/>
      <c r="UXN1" s="47"/>
      <c r="UXO1" s="47"/>
      <c r="UXP1" s="47"/>
      <c r="UXQ1" s="47"/>
      <c r="UXR1" s="47"/>
      <c r="UXS1" s="47"/>
      <c r="UXT1" s="47"/>
      <c r="UXU1" s="47"/>
      <c r="UXV1" s="47"/>
      <c r="UXW1" s="47"/>
      <c r="UXX1" s="47"/>
      <c r="UXY1" s="47"/>
      <c r="UXZ1" s="47"/>
      <c r="UYA1" s="47"/>
      <c r="UYB1" s="47"/>
      <c r="UYC1" s="47"/>
      <c r="UYD1" s="47"/>
      <c r="UYE1" s="47"/>
      <c r="UYF1" s="47"/>
      <c r="UYG1" s="47"/>
      <c r="UYH1" s="47"/>
      <c r="UYI1" s="47"/>
      <c r="UYJ1" s="47"/>
      <c r="UYK1" s="47"/>
      <c r="UYL1" s="47"/>
      <c r="UYM1" s="47"/>
      <c r="UYN1" s="47"/>
      <c r="UYO1" s="47"/>
      <c r="UYP1" s="47"/>
      <c r="UYQ1" s="47"/>
      <c r="UYR1" s="47"/>
      <c r="UYS1" s="47"/>
      <c r="UYT1" s="47"/>
      <c r="UYU1" s="47"/>
      <c r="UYV1" s="47"/>
      <c r="UYW1" s="47"/>
      <c r="UYX1" s="47"/>
      <c r="UYY1" s="47"/>
      <c r="UYZ1" s="47"/>
      <c r="UZA1" s="47"/>
      <c r="UZB1" s="47"/>
      <c r="UZC1" s="47"/>
      <c r="UZD1" s="47"/>
      <c r="UZE1" s="47"/>
      <c r="UZF1" s="47"/>
      <c r="UZG1" s="47"/>
      <c r="UZH1" s="47"/>
      <c r="UZI1" s="47"/>
      <c r="UZJ1" s="47"/>
      <c r="UZK1" s="47"/>
      <c r="UZL1" s="47"/>
      <c r="UZM1" s="47"/>
      <c r="UZN1" s="47"/>
      <c r="UZO1" s="47"/>
      <c r="UZP1" s="47"/>
      <c r="UZQ1" s="47"/>
      <c r="UZR1" s="47"/>
      <c r="UZS1" s="47"/>
      <c r="UZT1" s="47"/>
      <c r="UZU1" s="47"/>
      <c r="UZV1" s="47"/>
      <c r="UZW1" s="47"/>
      <c r="UZX1" s="47"/>
      <c r="UZY1" s="47"/>
      <c r="UZZ1" s="47"/>
      <c r="VAA1" s="47"/>
      <c r="VAB1" s="47"/>
      <c r="VAC1" s="47"/>
      <c r="VAD1" s="47"/>
      <c r="VAE1" s="47"/>
      <c r="VAF1" s="47"/>
      <c r="VAG1" s="47"/>
      <c r="VAH1" s="47"/>
      <c r="VAI1" s="47"/>
      <c r="VAJ1" s="47"/>
      <c r="VAK1" s="47"/>
      <c r="VAL1" s="47"/>
      <c r="VAM1" s="47"/>
      <c r="VAN1" s="47"/>
      <c r="VAO1" s="47"/>
      <c r="VAP1" s="47"/>
      <c r="VAQ1" s="47"/>
      <c r="VAR1" s="47"/>
      <c r="VAS1" s="47"/>
      <c r="VAT1" s="47"/>
      <c r="VAU1" s="47"/>
      <c r="VAV1" s="47"/>
      <c r="VAW1" s="47"/>
      <c r="VAX1" s="47"/>
      <c r="VAY1" s="47"/>
      <c r="VAZ1" s="47"/>
      <c r="VBA1" s="47"/>
      <c r="VBB1" s="47"/>
      <c r="VBC1" s="47"/>
      <c r="VBD1" s="47"/>
      <c r="VBE1" s="47"/>
      <c r="VBF1" s="47"/>
      <c r="VBG1" s="47"/>
      <c r="VBH1" s="47"/>
      <c r="VBI1" s="47"/>
      <c r="VBJ1" s="47"/>
      <c r="VBK1" s="47"/>
      <c r="VBL1" s="47"/>
      <c r="VBM1" s="47"/>
      <c r="VBN1" s="47"/>
      <c r="VBO1" s="47"/>
      <c r="VBP1" s="47"/>
      <c r="VBQ1" s="47"/>
      <c r="VBR1" s="47"/>
      <c r="VBS1" s="47"/>
      <c r="VBT1" s="47"/>
      <c r="VBU1" s="47"/>
      <c r="VBV1" s="47"/>
      <c r="VBW1" s="47"/>
      <c r="VBX1" s="47"/>
      <c r="VBY1" s="47"/>
      <c r="VBZ1" s="47"/>
      <c r="VCA1" s="47"/>
      <c r="VCB1" s="47"/>
      <c r="VCC1" s="47"/>
      <c r="VCD1" s="47"/>
      <c r="VCE1" s="47"/>
      <c r="VCF1" s="47"/>
      <c r="VCG1" s="47"/>
      <c r="VCH1" s="47"/>
      <c r="VCI1" s="47"/>
      <c r="VCJ1" s="47"/>
      <c r="VCK1" s="47"/>
      <c r="VCL1" s="47"/>
      <c r="VCM1" s="47"/>
      <c r="VCN1" s="47"/>
      <c r="VCO1" s="47"/>
      <c r="VCP1" s="47"/>
      <c r="VCQ1" s="47"/>
      <c r="VCR1" s="47"/>
      <c r="VCS1" s="47"/>
      <c r="VCT1" s="47"/>
      <c r="VCU1" s="47"/>
      <c r="VCV1" s="47"/>
      <c r="VCW1" s="47"/>
      <c r="VCX1" s="47"/>
      <c r="VCY1" s="47"/>
      <c r="VCZ1" s="47"/>
      <c r="VDA1" s="47"/>
      <c r="VDB1" s="47"/>
      <c r="VDC1" s="47"/>
      <c r="VDD1" s="47"/>
      <c r="VDE1" s="47"/>
      <c r="VDF1" s="47"/>
      <c r="VDG1" s="47"/>
      <c r="VDH1" s="47"/>
      <c r="VDI1" s="47"/>
      <c r="VDJ1" s="47"/>
      <c r="VDK1" s="47"/>
      <c r="VDL1" s="47"/>
      <c r="VDM1" s="47"/>
      <c r="VDN1" s="47"/>
      <c r="VDO1" s="47"/>
      <c r="VDP1" s="47"/>
      <c r="VDQ1" s="47"/>
      <c r="VDR1" s="47"/>
      <c r="VDS1" s="47"/>
      <c r="VDT1" s="47"/>
      <c r="VDU1" s="47"/>
      <c r="VDV1" s="47"/>
      <c r="VDW1" s="47"/>
      <c r="VDX1" s="47"/>
      <c r="VDY1" s="47"/>
      <c r="VDZ1" s="47"/>
      <c r="VEA1" s="47"/>
      <c r="VEB1" s="47"/>
      <c r="VEC1" s="47"/>
      <c r="VED1" s="47"/>
      <c r="VEE1" s="47"/>
      <c r="VEF1" s="47"/>
      <c r="VEG1" s="47"/>
      <c r="VEH1" s="47"/>
      <c r="VEI1" s="47"/>
      <c r="VEJ1" s="47"/>
      <c r="VEK1" s="47"/>
      <c r="VEL1" s="47"/>
      <c r="VEM1" s="47"/>
      <c r="VEN1" s="47"/>
      <c r="VEO1" s="47"/>
      <c r="VEP1" s="47"/>
      <c r="VEQ1" s="47"/>
      <c r="VER1" s="47"/>
      <c r="VES1" s="47"/>
      <c r="VET1" s="47"/>
      <c r="VEU1" s="47"/>
      <c r="VEV1" s="47"/>
      <c r="VEW1" s="47"/>
      <c r="VEX1" s="47"/>
      <c r="VEY1" s="47"/>
      <c r="VEZ1" s="47"/>
      <c r="VFA1" s="47"/>
      <c r="VFB1" s="47"/>
      <c r="VFC1" s="47"/>
      <c r="VFD1" s="47"/>
      <c r="VFE1" s="47"/>
      <c r="VFF1" s="47"/>
      <c r="VFG1" s="47"/>
      <c r="VFH1" s="47"/>
      <c r="VFI1" s="47"/>
      <c r="VFJ1" s="47"/>
      <c r="VFK1" s="47"/>
      <c r="VFL1" s="47"/>
      <c r="VFM1" s="47"/>
      <c r="VFN1" s="47"/>
      <c r="VFO1" s="47"/>
      <c r="VFP1" s="47"/>
      <c r="VFQ1" s="47"/>
      <c r="VFR1" s="47"/>
      <c r="VFS1" s="47"/>
      <c r="VFT1" s="47"/>
      <c r="VFU1" s="47"/>
      <c r="VFV1" s="47"/>
      <c r="VFW1" s="47"/>
      <c r="VFX1" s="47"/>
      <c r="VFY1" s="47"/>
      <c r="VFZ1" s="47"/>
      <c r="VGA1" s="47"/>
      <c r="VGB1" s="47"/>
      <c r="VGC1" s="47"/>
      <c r="VGD1" s="47"/>
      <c r="VGE1" s="47"/>
      <c r="VGF1" s="47"/>
      <c r="VGG1" s="47"/>
      <c r="VGH1" s="47"/>
      <c r="VGI1" s="47"/>
      <c r="VGJ1" s="47"/>
      <c r="VGK1" s="47"/>
      <c r="VGL1" s="47"/>
      <c r="VGM1" s="47"/>
      <c r="VGN1" s="47"/>
      <c r="VGO1" s="47"/>
      <c r="VGP1" s="47"/>
      <c r="VGQ1" s="47"/>
      <c r="VGR1" s="47"/>
      <c r="VGS1" s="47"/>
      <c r="VGT1" s="47"/>
      <c r="VGU1" s="47"/>
      <c r="VGV1" s="47"/>
      <c r="VGW1" s="47"/>
      <c r="VGX1" s="47"/>
      <c r="VGY1" s="47"/>
      <c r="VGZ1" s="47"/>
      <c r="VHA1" s="47"/>
      <c r="VHB1" s="47"/>
      <c r="VHC1" s="47"/>
      <c r="VHD1" s="47"/>
      <c r="VHE1" s="47"/>
      <c r="VHF1" s="47"/>
      <c r="VHG1" s="47"/>
      <c r="VHH1" s="47"/>
      <c r="VHI1" s="47"/>
      <c r="VHJ1" s="47"/>
      <c r="VHK1" s="47"/>
      <c r="VHL1" s="47"/>
      <c r="VHM1" s="47"/>
      <c r="VHN1" s="47"/>
      <c r="VHO1" s="47"/>
      <c r="VHP1" s="47"/>
      <c r="VHQ1" s="47"/>
      <c r="VHR1" s="47"/>
      <c r="VHS1" s="47"/>
      <c r="VHT1" s="47"/>
      <c r="VHU1" s="47"/>
      <c r="VHV1" s="47"/>
      <c r="VHW1" s="47"/>
      <c r="VHX1" s="47"/>
      <c r="VHY1" s="47"/>
      <c r="VHZ1" s="47"/>
      <c r="VIA1" s="47"/>
      <c r="VIB1" s="47"/>
      <c r="VIC1" s="47"/>
      <c r="VID1" s="47"/>
      <c r="VIE1" s="47"/>
      <c r="VIF1" s="47"/>
      <c r="VIG1" s="47"/>
      <c r="VIH1" s="47"/>
      <c r="VII1" s="47"/>
      <c r="VIJ1" s="47"/>
      <c r="VIK1" s="47"/>
      <c r="VIL1" s="47"/>
      <c r="VIM1" s="47"/>
      <c r="VIN1" s="47"/>
      <c r="VIO1" s="47"/>
      <c r="VIP1" s="47"/>
      <c r="VIQ1" s="47"/>
      <c r="VIR1" s="47"/>
      <c r="VIS1" s="47"/>
      <c r="VIT1" s="47"/>
      <c r="VIU1" s="47"/>
      <c r="VIV1" s="47"/>
      <c r="VIW1" s="47"/>
      <c r="VIX1" s="47"/>
      <c r="VIY1" s="47"/>
      <c r="VIZ1" s="47"/>
      <c r="VJA1" s="47"/>
      <c r="VJB1" s="47"/>
      <c r="VJC1" s="47"/>
      <c r="VJD1" s="47"/>
      <c r="VJE1" s="47"/>
      <c r="VJF1" s="47"/>
      <c r="VJG1" s="47"/>
      <c r="VJH1" s="47"/>
      <c r="VJI1" s="47"/>
      <c r="VJJ1" s="47"/>
      <c r="VJK1" s="47"/>
      <c r="VJL1" s="47"/>
      <c r="VJM1" s="47"/>
      <c r="VJN1" s="47"/>
      <c r="VJO1" s="47"/>
      <c r="VJP1" s="47"/>
      <c r="VJQ1" s="47"/>
      <c r="VJR1" s="47"/>
      <c r="VJS1" s="47"/>
      <c r="VJT1" s="47"/>
      <c r="VJU1" s="47"/>
      <c r="VJV1" s="47"/>
      <c r="VJW1" s="47"/>
      <c r="VJX1" s="47"/>
      <c r="VJY1" s="47"/>
      <c r="VJZ1" s="47"/>
      <c r="VKA1" s="47"/>
      <c r="VKB1" s="47"/>
      <c r="VKC1" s="47"/>
      <c r="VKD1" s="47"/>
      <c r="VKE1" s="47"/>
      <c r="VKF1" s="47"/>
      <c r="VKG1" s="47"/>
      <c r="VKH1" s="47"/>
      <c r="VKI1" s="47"/>
      <c r="VKJ1" s="47"/>
      <c r="VKK1" s="47"/>
      <c r="VKL1" s="47"/>
      <c r="VKM1" s="47"/>
      <c r="VKN1" s="47"/>
      <c r="VKO1" s="47"/>
      <c r="VKP1" s="47"/>
      <c r="VKQ1" s="47"/>
      <c r="VKR1" s="47"/>
      <c r="VKS1" s="47"/>
      <c r="VKT1" s="47"/>
      <c r="VKU1" s="47"/>
      <c r="VKV1" s="47"/>
      <c r="VKW1" s="47"/>
      <c r="VKX1" s="47"/>
      <c r="VKY1" s="47"/>
      <c r="VKZ1" s="47"/>
      <c r="VLA1" s="47"/>
      <c r="VLB1" s="47"/>
      <c r="VLC1" s="47"/>
      <c r="VLD1" s="47"/>
      <c r="VLE1" s="47"/>
      <c r="VLF1" s="47"/>
      <c r="VLG1" s="47"/>
      <c r="VLH1" s="47"/>
      <c r="VLI1" s="47"/>
      <c r="VLJ1" s="47"/>
      <c r="VLK1" s="47"/>
      <c r="VLL1" s="47"/>
      <c r="VLM1" s="47"/>
      <c r="VLN1" s="47"/>
      <c r="VLO1" s="47"/>
      <c r="VLP1" s="47"/>
      <c r="VLQ1" s="47"/>
      <c r="VLR1" s="47"/>
      <c r="VLS1" s="47"/>
      <c r="VLT1" s="47"/>
      <c r="VLU1" s="47"/>
      <c r="VLV1" s="47"/>
      <c r="VLW1" s="47"/>
      <c r="VLX1" s="47"/>
      <c r="VLY1" s="47"/>
      <c r="VLZ1" s="47"/>
      <c r="VMA1" s="47"/>
      <c r="VMB1" s="47"/>
      <c r="VMC1" s="47"/>
      <c r="VMD1" s="47"/>
      <c r="VME1" s="47"/>
      <c r="VMF1" s="47"/>
      <c r="VMG1" s="47"/>
      <c r="VMH1" s="47"/>
      <c r="VMI1" s="47"/>
      <c r="VMJ1" s="47"/>
      <c r="VMK1" s="47"/>
      <c r="VML1" s="47"/>
      <c r="VMM1" s="47"/>
      <c r="VMN1" s="47"/>
      <c r="VMO1" s="47"/>
      <c r="VMP1" s="47"/>
      <c r="VMQ1" s="47"/>
      <c r="VMR1" s="47"/>
      <c r="VMS1" s="47"/>
      <c r="VMT1" s="47"/>
      <c r="VMU1" s="47"/>
      <c r="VMV1" s="47"/>
      <c r="VMW1" s="47"/>
      <c r="VMX1" s="47"/>
      <c r="VMY1" s="47"/>
      <c r="VMZ1" s="47"/>
      <c r="VNA1" s="47"/>
      <c r="VNB1" s="47"/>
      <c r="VNC1" s="47"/>
      <c r="VND1" s="47"/>
      <c r="VNE1" s="47"/>
      <c r="VNF1" s="47"/>
      <c r="VNG1" s="47"/>
      <c r="VNH1" s="47"/>
      <c r="VNI1" s="47"/>
      <c r="VNJ1" s="47"/>
      <c r="VNK1" s="47"/>
      <c r="VNL1" s="47"/>
      <c r="VNM1" s="47"/>
      <c r="VNN1" s="47"/>
      <c r="VNO1" s="47"/>
      <c r="VNP1" s="47"/>
      <c r="VNQ1" s="47"/>
      <c r="VNR1" s="47"/>
      <c r="VNS1" s="47"/>
      <c r="VNT1" s="47"/>
      <c r="VNU1" s="47"/>
      <c r="VNV1" s="47"/>
      <c r="VNW1" s="47"/>
      <c r="VNX1" s="47"/>
      <c r="VNY1" s="47"/>
      <c r="VNZ1" s="47"/>
      <c r="VOA1" s="47"/>
      <c r="VOB1" s="47"/>
      <c r="VOC1" s="47"/>
      <c r="VOD1" s="47"/>
      <c r="VOE1" s="47"/>
      <c r="VOF1" s="47"/>
      <c r="VOG1" s="47"/>
      <c r="VOH1" s="47"/>
      <c r="VOI1" s="47"/>
      <c r="VOJ1" s="47"/>
      <c r="VOK1" s="47"/>
      <c r="VOL1" s="47"/>
      <c r="VOM1" s="47"/>
      <c r="VON1" s="47"/>
      <c r="VOO1" s="47"/>
      <c r="VOP1" s="47"/>
      <c r="VOQ1" s="47"/>
      <c r="VOR1" s="47"/>
      <c r="VOS1" s="47"/>
      <c r="VOT1" s="47"/>
      <c r="VOU1" s="47"/>
      <c r="VOV1" s="47"/>
      <c r="VOW1" s="47"/>
      <c r="VOX1" s="47"/>
      <c r="VOY1" s="47"/>
      <c r="VOZ1" s="47"/>
      <c r="VPA1" s="47"/>
      <c r="VPB1" s="47"/>
      <c r="VPC1" s="47"/>
      <c r="VPD1" s="47"/>
      <c r="VPE1" s="47"/>
      <c r="VPF1" s="47"/>
      <c r="VPG1" s="47"/>
      <c r="VPH1" s="47"/>
      <c r="VPI1" s="47"/>
      <c r="VPJ1" s="47"/>
      <c r="VPK1" s="47"/>
      <c r="VPL1" s="47"/>
      <c r="VPM1" s="47"/>
      <c r="VPN1" s="47"/>
      <c r="VPO1" s="47"/>
      <c r="VPP1" s="47"/>
      <c r="VPQ1" s="47"/>
      <c r="VPR1" s="47"/>
      <c r="VPS1" s="47"/>
      <c r="VPT1" s="47"/>
      <c r="VPU1" s="47"/>
      <c r="VPV1" s="47"/>
      <c r="VPW1" s="47"/>
      <c r="VPX1" s="47"/>
      <c r="VPY1" s="47"/>
      <c r="VPZ1" s="47"/>
      <c r="VQA1" s="47"/>
      <c r="VQB1" s="47"/>
      <c r="VQC1" s="47"/>
      <c r="VQD1" s="47"/>
      <c r="VQE1" s="47"/>
      <c r="VQF1" s="47"/>
      <c r="VQG1" s="47"/>
      <c r="VQH1" s="47"/>
      <c r="VQI1" s="47"/>
      <c r="VQJ1" s="47"/>
      <c r="VQK1" s="47"/>
      <c r="VQL1" s="47"/>
      <c r="VQM1" s="47"/>
      <c r="VQN1" s="47"/>
      <c r="VQO1" s="47"/>
      <c r="VQP1" s="47"/>
      <c r="VQQ1" s="47"/>
      <c r="VQR1" s="47"/>
      <c r="VQS1" s="47"/>
      <c r="VQT1" s="47"/>
      <c r="VQU1" s="47"/>
      <c r="VQV1" s="47"/>
      <c r="VQW1" s="47"/>
      <c r="VQX1" s="47"/>
      <c r="VQY1" s="47"/>
      <c r="VQZ1" s="47"/>
      <c r="VRA1" s="47"/>
      <c r="VRB1" s="47"/>
      <c r="VRC1" s="47"/>
      <c r="VRD1" s="47"/>
      <c r="VRE1" s="47"/>
      <c r="VRF1" s="47"/>
      <c r="VRG1" s="47"/>
      <c r="VRH1" s="47"/>
      <c r="VRI1" s="47"/>
      <c r="VRJ1" s="47"/>
      <c r="VRK1" s="47"/>
      <c r="VRL1" s="47"/>
      <c r="VRM1" s="47"/>
      <c r="VRN1" s="47"/>
      <c r="VRO1" s="47"/>
      <c r="VRP1" s="47"/>
      <c r="VRQ1" s="47"/>
      <c r="VRR1" s="47"/>
      <c r="VRS1" s="47"/>
      <c r="VRT1" s="47"/>
      <c r="VRU1" s="47"/>
      <c r="VRV1" s="47"/>
      <c r="VRW1" s="47"/>
      <c r="VRX1" s="47"/>
      <c r="VRY1" s="47"/>
      <c r="VRZ1" s="47"/>
      <c r="VSA1" s="47"/>
      <c r="VSB1" s="47"/>
      <c r="VSC1" s="47"/>
      <c r="VSD1" s="47"/>
      <c r="VSE1" s="47"/>
      <c r="VSF1" s="47"/>
      <c r="VSG1" s="47"/>
      <c r="VSH1" s="47"/>
      <c r="VSI1" s="47"/>
      <c r="VSJ1" s="47"/>
      <c r="VSK1" s="47"/>
      <c r="VSL1" s="47"/>
      <c r="VSM1" s="47"/>
      <c r="VSN1" s="47"/>
      <c r="VSO1" s="47"/>
      <c r="VSP1" s="47"/>
      <c r="VSQ1" s="47"/>
      <c r="VSR1" s="47"/>
      <c r="VSS1" s="47"/>
      <c r="VST1" s="47"/>
      <c r="VSU1" s="47"/>
      <c r="VSV1" s="47"/>
      <c r="VSW1" s="47"/>
      <c r="VSX1" s="47"/>
      <c r="VSY1" s="47"/>
      <c r="VSZ1" s="47"/>
      <c r="VTA1" s="47"/>
      <c r="VTB1" s="47"/>
      <c r="VTC1" s="47"/>
      <c r="VTD1" s="47"/>
      <c r="VTE1" s="47"/>
      <c r="VTF1" s="47"/>
      <c r="VTG1" s="47"/>
      <c r="VTH1" s="47"/>
      <c r="VTI1" s="47"/>
      <c r="VTJ1" s="47"/>
      <c r="VTK1" s="47"/>
      <c r="VTL1" s="47"/>
      <c r="VTM1" s="47"/>
      <c r="VTN1" s="47"/>
      <c r="VTO1" s="47"/>
      <c r="VTP1" s="47"/>
      <c r="VTQ1" s="47"/>
      <c r="VTR1" s="47"/>
      <c r="VTS1" s="47"/>
      <c r="VTT1" s="47"/>
      <c r="VTU1" s="47"/>
      <c r="VTV1" s="47"/>
      <c r="VTW1" s="47"/>
      <c r="VTX1" s="47"/>
      <c r="VTY1" s="47"/>
      <c r="VTZ1" s="47"/>
      <c r="VUA1" s="47"/>
      <c r="VUB1" s="47"/>
      <c r="VUC1" s="47"/>
      <c r="VUD1" s="47"/>
      <c r="VUE1" s="47"/>
      <c r="VUF1" s="47"/>
      <c r="VUG1" s="47"/>
      <c r="VUH1" s="47"/>
      <c r="VUI1" s="47"/>
      <c r="VUJ1" s="47"/>
      <c r="VUK1" s="47"/>
      <c r="VUL1" s="47"/>
      <c r="VUM1" s="47"/>
      <c r="VUN1" s="47"/>
      <c r="VUO1" s="47"/>
      <c r="VUP1" s="47"/>
      <c r="VUQ1" s="47"/>
      <c r="VUR1" s="47"/>
      <c r="VUS1" s="47"/>
      <c r="VUT1" s="47"/>
      <c r="VUU1" s="47"/>
      <c r="VUV1" s="47"/>
      <c r="VUW1" s="47"/>
      <c r="VUX1" s="47"/>
      <c r="VUY1" s="47"/>
      <c r="VUZ1" s="47"/>
      <c r="VVA1" s="47"/>
      <c r="VVB1" s="47"/>
      <c r="VVC1" s="47"/>
      <c r="VVD1" s="47"/>
      <c r="VVE1" s="47"/>
      <c r="VVF1" s="47"/>
      <c r="VVG1" s="47"/>
      <c r="VVH1" s="47"/>
      <c r="VVI1" s="47"/>
      <c r="VVJ1" s="47"/>
      <c r="VVK1" s="47"/>
      <c r="VVL1" s="47"/>
      <c r="VVM1" s="47"/>
      <c r="VVN1" s="47"/>
      <c r="VVO1" s="47"/>
      <c r="VVP1" s="47"/>
      <c r="VVQ1" s="47"/>
      <c r="VVR1" s="47"/>
      <c r="VVS1" s="47"/>
      <c r="VVT1" s="47"/>
      <c r="VVU1" s="47"/>
      <c r="VVV1" s="47"/>
      <c r="VVW1" s="47"/>
      <c r="VVX1" s="47"/>
      <c r="VVY1" s="47"/>
      <c r="VVZ1" s="47"/>
      <c r="VWA1" s="47"/>
      <c r="VWB1" s="47"/>
      <c r="VWC1" s="47"/>
      <c r="VWD1" s="47"/>
      <c r="VWE1" s="47"/>
      <c r="VWF1" s="47"/>
      <c r="VWG1" s="47"/>
      <c r="VWH1" s="47"/>
      <c r="VWI1" s="47"/>
      <c r="VWJ1" s="47"/>
      <c r="VWK1" s="47"/>
      <c r="VWL1" s="47"/>
      <c r="VWM1" s="47"/>
      <c r="VWN1" s="47"/>
      <c r="VWO1" s="47"/>
      <c r="VWP1" s="47"/>
      <c r="VWQ1" s="47"/>
      <c r="VWR1" s="47"/>
      <c r="VWS1" s="47"/>
      <c r="VWT1" s="47"/>
      <c r="VWU1" s="47"/>
      <c r="VWV1" s="47"/>
      <c r="VWW1" s="47"/>
      <c r="VWX1" s="47"/>
      <c r="VWY1" s="47"/>
      <c r="VWZ1" s="47"/>
      <c r="VXA1" s="47"/>
      <c r="VXB1" s="47"/>
      <c r="VXC1" s="47"/>
      <c r="VXD1" s="47"/>
      <c r="VXE1" s="47"/>
      <c r="VXF1" s="47"/>
      <c r="VXG1" s="47"/>
      <c r="VXH1" s="47"/>
      <c r="VXI1" s="47"/>
      <c r="VXJ1" s="47"/>
      <c r="VXK1" s="47"/>
      <c r="VXL1" s="47"/>
      <c r="VXM1" s="47"/>
      <c r="VXN1" s="47"/>
      <c r="VXO1" s="47"/>
      <c r="VXP1" s="47"/>
      <c r="VXQ1" s="47"/>
      <c r="VXR1" s="47"/>
      <c r="VXS1" s="47"/>
      <c r="VXT1" s="47"/>
      <c r="VXU1" s="47"/>
      <c r="VXV1" s="47"/>
      <c r="VXW1" s="47"/>
      <c r="VXX1" s="47"/>
      <c r="VXY1" s="47"/>
      <c r="VXZ1" s="47"/>
      <c r="VYA1" s="47"/>
      <c r="VYB1" s="47"/>
      <c r="VYC1" s="47"/>
      <c r="VYD1" s="47"/>
      <c r="VYE1" s="47"/>
      <c r="VYF1" s="47"/>
      <c r="VYG1" s="47"/>
      <c r="VYH1" s="47"/>
      <c r="VYI1" s="47"/>
      <c r="VYJ1" s="47"/>
      <c r="VYK1" s="47"/>
      <c r="VYL1" s="47"/>
      <c r="VYM1" s="47"/>
      <c r="VYN1" s="47"/>
      <c r="VYO1" s="47"/>
      <c r="VYP1" s="47"/>
      <c r="VYQ1" s="47"/>
      <c r="VYR1" s="47"/>
      <c r="VYS1" s="47"/>
      <c r="VYT1" s="47"/>
      <c r="VYU1" s="47"/>
      <c r="VYV1" s="47"/>
      <c r="VYW1" s="47"/>
      <c r="VYX1" s="47"/>
      <c r="VYY1" s="47"/>
      <c r="VYZ1" s="47"/>
      <c r="VZA1" s="47"/>
      <c r="VZB1" s="47"/>
      <c r="VZC1" s="47"/>
      <c r="VZD1" s="47"/>
      <c r="VZE1" s="47"/>
      <c r="VZF1" s="47"/>
      <c r="VZG1" s="47"/>
      <c r="VZH1" s="47"/>
      <c r="VZI1" s="47"/>
      <c r="VZJ1" s="47"/>
      <c r="VZK1" s="47"/>
      <c r="VZL1" s="47"/>
      <c r="VZM1" s="47"/>
      <c r="VZN1" s="47"/>
      <c r="VZO1" s="47"/>
      <c r="VZP1" s="47"/>
      <c r="VZQ1" s="47"/>
      <c r="VZR1" s="47"/>
      <c r="VZS1" s="47"/>
      <c r="VZT1" s="47"/>
      <c r="VZU1" s="47"/>
      <c r="VZV1" s="47"/>
      <c r="VZW1" s="47"/>
      <c r="VZX1" s="47"/>
      <c r="VZY1" s="47"/>
      <c r="VZZ1" s="47"/>
      <c r="WAA1" s="47"/>
      <c r="WAB1" s="47"/>
      <c r="WAC1" s="47"/>
      <c r="WAD1" s="47"/>
      <c r="WAE1" s="47"/>
      <c r="WAF1" s="47"/>
      <c r="WAG1" s="47"/>
      <c r="WAH1" s="47"/>
      <c r="WAI1" s="47"/>
      <c r="WAJ1" s="47"/>
      <c r="WAK1" s="47"/>
      <c r="WAL1" s="47"/>
      <c r="WAM1" s="47"/>
      <c r="WAN1" s="47"/>
      <c r="WAO1" s="47"/>
      <c r="WAP1" s="47"/>
      <c r="WAQ1" s="47"/>
      <c r="WAR1" s="47"/>
      <c r="WAS1" s="47"/>
      <c r="WAT1" s="47"/>
      <c r="WAU1" s="47"/>
      <c r="WAV1" s="47"/>
      <c r="WAW1" s="47"/>
      <c r="WAX1" s="47"/>
      <c r="WAY1" s="47"/>
      <c r="WAZ1" s="47"/>
      <c r="WBA1" s="47"/>
      <c r="WBB1" s="47"/>
      <c r="WBC1" s="47"/>
      <c r="WBD1" s="47"/>
      <c r="WBE1" s="47"/>
      <c r="WBF1" s="47"/>
      <c r="WBG1" s="47"/>
      <c r="WBH1" s="47"/>
      <c r="WBI1" s="47"/>
      <c r="WBJ1" s="47"/>
      <c r="WBK1" s="47"/>
      <c r="WBL1" s="47"/>
      <c r="WBM1" s="47"/>
      <c r="WBN1" s="47"/>
      <c r="WBO1" s="47"/>
      <c r="WBP1" s="47"/>
      <c r="WBQ1" s="47"/>
      <c r="WBR1" s="47"/>
      <c r="WBS1" s="47"/>
      <c r="WBT1" s="47"/>
      <c r="WBU1" s="47"/>
      <c r="WBV1" s="47"/>
      <c r="WBW1" s="47"/>
      <c r="WBX1" s="47"/>
      <c r="WBY1" s="47"/>
      <c r="WBZ1" s="47"/>
      <c r="WCA1" s="47"/>
      <c r="WCB1" s="47"/>
      <c r="WCC1" s="47"/>
      <c r="WCD1" s="47"/>
      <c r="WCE1" s="47"/>
      <c r="WCF1" s="47"/>
      <c r="WCG1" s="47"/>
      <c r="WCH1" s="47"/>
      <c r="WCI1" s="47"/>
      <c r="WCJ1" s="47"/>
      <c r="WCK1" s="47"/>
      <c r="WCL1" s="47"/>
      <c r="WCM1" s="47"/>
      <c r="WCN1" s="47"/>
      <c r="WCO1" s="47"/>
      <c r="WCP1" s="47"/>
      <c r="WCQ1" s="47"/>
      <c r="WCR1" s="47"/>
      <c r="WCS1" s="47"/>
      <c r="WCT1" s="47"/>
      <c r="WCU1" s="47"/>
      <c r="WCV1" s="47"/>
      <c r="WCW1" s="47"/>
      <c r="WCX1" s="47"/>
      <c r="WCY1" s="47"/>
      <c r="WCZ1" s="47"/>
      <c r="WDA1" s="47"/>
      <c r="WDB1" s="47"/>
      <c r="WDC1" s="47"/>
      <c r="WDD1" s="47"/>
      <c r="WDE1" s="47"/>
      <c r="WDF1" s="47"/>
      <c r="WDG1" s="47"/>
      <c r="WDH1" s="47"/>
      <c r="WDI1" s="47"/>
      <c r="WDJ1" s="47"/>
      <c r="WDK1" s="47"/>
      <c r="WDL1" s="47"/>
      <c r="WDM1" s="47"/>
      <c r="WDN1" s="47"/>
      <c r="WDO1" s="47"/>
      <c r="WDP1" s="47"/>
      <c r="WDQ1" s="47"/>
      <c r="WDR1" s="47"/>
      <c r="WDS1" s="47"/>
      <c r="WDT1" s="47"/>
      <c r="WDU1" s="47"/>
      <c r="WDV1" s="47"/>
      <c r="WDW1" s="47"/>
      <c r="WDX1" s="47"/>
      <c r="WDY1" s="47"/>
      <c r="WDZ1" s="47"/>
      <c r="WEA1" s="47"/>
      <c r="WEB1" s="47"/>
      <c r="WEC1" s="47"/>
      <c r="WED1" s="47"/>
      <c r="WEE1" s="47"/>
      <c r="WEF1" s="47"/>
      <c r="WEG1" s="47"/>
      <c r="WEH1" s="47"/>
      <c r="WEI1" s="47"/>
      <c r="WEJ1" s="47"/>
      <c r="WEK1" s="47"/>
      <c r="WEL1" s="47"/>
      <c r="WEM1" s="47"/>
      <c r="WEN1" s="47"/>
      <c r="WEO1" s="47"/>
      <c r="WEP1" s="47"/>
      <c r="WEQ1" s="47"/>
      <c r="WER1" s="47"/>
      <c r="WES1" s="47"/>
      <c r="WET1" s="47"/>
      <c r="WEU1" s="47"/>
      <c r="WEV1" s="47"/>
      <c r="WEW1" s="47"/>
      <c r="WEX1" s="47"/>
      <c r="WEY1" s="47"/>
      <c r="WEZ1" s="47"/>
      <c r="WFA1" s="47"/>
      <c r="WFB1" s="47"/>
      <c r="WFC1" s="47"/>
      <c r="WFD1" s="47"/>
      <c r="WFE1" s="47"/>
      <c r="WFF1" s="47"/>
      <c r="WFG1" s="47"/>
      <c r="WFH1" s="47"/>
      <c r="WFI1" s="47"/>
      <c r="WFJ1" s="47"/>
      <c r="WFK1" s="47"/>
      <c r="WFL1" s="47"/>
      <c r="WFM1" s="47"/>
      <c r="WFN1" s="47"/>
      <c r="WFO1" s="47"/>
      <c r="WFP1" s="47"/>
      <c r="WFQ1" s="47"/>
      <c r="WFR1" s="47"/>
      <c r="WFS1" s="47"/>
      <c r="WFT1" s="47"/>
      <c r="WFU1" s="47"/>
      <c r="WFV1" s="47"/>
      <c r="WFW1" s="47"/>
      <c r="WFX1" s="47"/>
      <c r="WFY1" s="47"/>
      <c r="WFZ1" s="47"/>
      <c r="WGA1" s="47"/>
      <c r="WGB1" s="47"/>
      <c r="WGC1" s="47"/>
      <c r="WGD1" s="47"/>
      <c r="WGE1" s="47"/>
      <c r="WGF1" s="47"/>
      <c r="WGG1" s="47"/>
      <c r="WGH1" s="47"/>
      <c r="WGI1" s="47"/>
      <c r="WGJ1" s="47"/>
      <c r="WGK1" s="47"/>
      <c r="WGL1" s="47"/>
      <c r="WGM1" s="47"/>
      <c r="WGN1" s="47"/>
      <c r="WGO1" s="47"/>
      <c r="WGP1" s="47"/>
      <c r="WGQ1" s="47"/>
      <c r="WGR1" s="47"/>
      <c r="WGS1" s="47"/>
      <c r="WGT1" s="47"/>
      <c r="WGU1" s="47"/>
      <c r="WGV1" s="47"/>
      <c r="WGW1" s="47"/>
      <c r="WGX1" s="47"/>
      <c r="WGY1" s="47"/>
      <c r="WGZ1" s="47"/>
      <c r="WHA1" s="47"/>
      <c r="WHB1" s="47"/>
      <c r="WHC1" s="47"/>
      <c r="WHD1" s="47"/>
      <c r="WHE1" s="47"/>
      <c r="WHF1" s="47"/>
      <c r="WHG1" s="47"/>
      <c r="WHH1" s="47"/>
      <c r="WHI1" s="47"/>
      <c r="WHJ1" s="47"/>
      <c r="WHK1" s="47"/>
      <c r="WHL1" s="47"/>
      <c r="WHM1" s="47"/>
      <c r="WHN1" s="47"/>
      <c r="WHO1" s="47"/>
      <c r="WHP1" s="47"/>
      <c r="WHQ1" s="47"/>
      <c r="WHR1" s="47"/>
      <c r="WHS1" s="47"/>
      <c r="WHT1" s="47"/>
      <c r="WHU1" s="47"/>
      <c r="WHV1" s="47"/>
      <c r="WHW1" s="47"/>
      <c r="WHX1" s="47"/>
      <c r="WHY1" s="47"/>
      <c r="WHZ1" s="47"/>
      <c r="WIA1" s="47"/>
      <c r="WIB1" s="47"/>
      <c r="WIC1" s="47"/>
      <c r="WID1" s="47"/>
      <c r="WIE1" s="47"/>
      <c r="WIF1" s="47"/>
      <c r="WIG1" s="47"/>
      <c r="WIH1" s="47"/>
      <c r="WII1" s="47"/>
      <c r="WIJ1" s="47"/>
      <c r="WIK1" s="47"/>
      <c r="WIL1" s="47"/>
      <c r="WIM1" s="47"/>
      <c r="WIN1" s="47"/>
      <c r="WIO1" s="47"/>
      <c r="WIP1" s="47"/>
      <c r="WIQ1" s="47"/>
      <c r="WIR1" s="47"/>
      <c r="WIS1" s="47"/>
      <c r="WIT1" s="47"/>
      <c r="WIU1" s="47"/>
      <c r="WIV1" s="47"/>
      <c r="WIW1" s="47"/>
      <c r="WIX1" s="47"/>
      <c r="WIY1" s="47"/>
      <c r="WIZ1" s="47"/>
      <c r="WJA1" s="47"/>
      <c r="WJB1" s="47"/>
      <c r="WJC1" s="47"/>
      <c r="WJD1" s="47"/>
      <c r="WJE1" s="47"/>
      <c r="WJF1" s="47"/>
      <c r="WJG1" s="47"/>
      <c r="WJH1" s="47"/>
      <c r="WJI1" s="47"/>
      <c r="WJJ1" s="47"/>
      <c r="WJK1" s="47"/>
      <c r="WJL1" s="47"/>
      <c r="WJM1" s="47"/>
      <c r="WJN1" s="47"/>
      <c r="WJO1" s="47"/>
      <c r="WJP1" s="47"/>
      <c r="WJQ1" s="47"/>
      <c r="WJR1" s="47"/>
      <c r="WJS1" s="47"/>
      <c r="WJT1" s="47"/>
      <c r="WJU1" s="47"/>
      <c r="WJV1" s="47"/>
      <c r="WJW1" s="47"/>
      <c r="WJX1" s="47"/>
      <c r="WJY1" s="47"/>
      <c r="WJZ1" s="47"/>
      <c r="WKA1" s="47"/>
      <c r="WKB1" s="47"/>
      <c r="WKC1" s="47"/>
      <c r="WKD1" s="47"/>
      <c r="WKE1" s="47"/>
      <c r="WKF1" s="47"/>
      <c r="WKG1" s="47"/>
      <c r="WKH1" s="47"/>
      <c r="WKI1" s="47"/>
      <c r="WKJ1" s="47"/>
      <c r="WKK1" s="47"/>
      <c r="WKL1" s="47"/>
      <c r="WKM1" s="47"/>
      <c r="WKN1" s="47"/>
      <c r="WKO1" s="47"/>
      <c r="WKP1" s="47"/>
      <c r="WKQ1" s="47"/>
      <c r="WKR1" s="47"/>
      <c r="WKS1" s="47"/>
      <c r="WKT1" s="47"/>
      <c r="WKU1" s="47"/>
      <c r="WKV1" s="47"/>
      <c r="WKW1" s="47"/>
      <c r="WKX1" s="47"/>
      <c r="WKY1" s="47"/>
      <c r="WKZ1" s="47"/>
      <c r="WLA1" s="47"/>
      <c r="WLB1" s="47"/>
      <c r="WLC1" s="47"/>
      <c r="WLD1" s="47"/>
      <c r="WLE1" s="47"/>
      <c r="WLF1" s="47"/>
      <c r="WLG1" s="47"/>
      <c r="WLH1" s="47"/>
      <c r="WLI1" s="47"/>
      <c r="WLJ1" s="47"/>
      <c r="WLK1" s="47"/>
      <c r="WLL1" s="47"/>
      <c r="WLM1" s="47"/>
      <c r="WLN1" s="47"/>
      <c r="WLO1" s="47"/>
      <c r="WLP1" s="47"/>
      <c r="WLQ1" s="47"/>
      <c r="WLR1" s="47"/>
      <c r="WLS1" s="47"/>
      <c r="WLT1" s="47"/>
      <c r="WLU1" s="47"/>
      <c r="WLV1" s="47"/>
      <c r="WLW1" s="47"/>
      <c r="WLX1" s="47"/>
      <c r="WLY1" s="47"/>
      <c r="WLZ1" s="47"/>
      <c r="WMA1" s="47"/>
      <c r="WMB1" s="47"/>
      <c r="WMC1" s="47"/>
      <c r="WMD1" s="47"/>
      <c r="WME1" s="47"/>
      <c r="WMF1" s="47"/>
      <c r="WMG1" s="47"/>
      <c r="WMH1" s="47"/>
      <c r="WMI1" s="47"/>
      <c r="WMJ1" s="47"/>
      <c r="WMK1" s="47"/>
      <c r="WML1" s="47"/>
      <c r="WMM1" s="47"/>
      <c r="WMN1" s="47"/>
      <c r="WMO1" s="47"/>
      <c r="WMP1" s="47"/>
      <c r="WMQ1" s="47"/>
      <c r="WMR1" s="47"/>
      <c r="WMS1" s="47"/>
      <c r="WMT1" s="47"/>
      <c r="WMU1" s="47"/>
      <c r="WMV1" s="47"/>
      <c r="WMW1" s="47"/>
      <c r="WMX1" s="47"/>
      <c r="WMY1" s="47"/>
      <c r="WMZ1" s="47"/>
      <c r="WNA1" s="47"/>
      <c r="WNB1" s="47"/>
      <c r="WNC1" s="47"/>
      <c r="WND1" s="47"/>
      <c r="WNE1" s="47"/>
      <c r="WNF1" s="47"/>
      <c r="WNG1" s="47"/>
      <c r="WNH1" s="47"/>
      <c r="WNI1" s="47"/>
      <c r="WNJ1" s="47"/>
      <c r="WNK1" s="47"/>
      <c r="WNL1" s="47"/>
      <c r="WNM1" s="47"/>
      <c r="WNN1" s="47"/>
      <c r="WNO1" s="47"/>
      <c r="WNP1" s="47"/>
      <c r="WNQ1" s="47"/>
      <c r="WNR1" s="47"/>
      <c r="WNS1" s="47"/>
      <c r="WNT1" s="47"/>
      <c r="WNU1" s="47"/>
      <c r="WNV1" s="47"/>
      <c r="WNW1" s="47"/>
      <c r="WNX1" s="47"/>
      <c r="WNY1" s="47"/>
      <c r="WNZ1" s="47"/>
      <c r="WOA1" s="47"/>
      <c r="WOB1" s="47"/>
      <c r="WOC1" s="47"/>
      <c r="WOD1" s="47"/>
      <c r="WOE1" s="47"/>
      <c r="WOF1" s="47"/>
      <c r="WOG1" s="47"/>
      <c r="WOH1" s="47"/>
      <c r="WOI1" s="47"/>
      <c r="WOJ1" s="47"/>
      <c r="WOK1" s="47"/>
      <c r="WOL1" s="47"/>
      <c r="WOM1" s="47"/>
      <c r="WON1" s="47"/>
      <c r="WOO1" s="47"/>
      <c r="WOP1" s="47"/>
      <c r="WOQ1" s="47"/>
      <c r="WOR1" s="47"/>
      <c r="WOS1" s="47"/>
      <c r="WOT1" s="47"/>
      <c r="WOU1" s="47"/>
      <c r="WOV1" s="47"/>
      <c r="WOW1" s="47"/>
      <c r="WOX1" s="47"/>
      <c r="WOY1" s="47"/>
      <c r="WOZ1" s="47"/>
      <c r="WPA1" s="47"/>
      <c r="WPB1" s="47"/>
      <c r="WPC1" s="47"/>
      <c r="WPD1" s="47"/>
      <c r="WPE1" s="47"/>
      <c r="WPF1" s="47"/>
      <c r="WPG1" s="47"/>
      <c r="WPH1" s="47"/>
      <c r="WPI1" s="47"/>
      <c r="WPJ1" s="47"/>
      <c r="WPK1" s="47"/>
      <c r="WPL1" s="47"/>
      <c r="WPM1" s="47"/>
      <c r="WPN1" s="47"/>
      <c r="WPO1" s="47"/>
      <c r="WPP1" s="47"/>
      <c r="WPQ1" s="47"/>
      <c r="WPR1" s="47"/>
      <c r="WPS1" s="47"/>
      <c r="WPT1" s="47"/>
      <c r="WPU1" s="47"/>
      <c r="WPV1" s="47"/>
      <c r="WPW1" s="47"/>
      <c r="WPX1" s="47"/>
      <c r="WPY1" s="47"/>
      <c r="WPZ1" s="47"/>
      <c r="WQA1" s="47"/>
      <c r="WQB1" s="47"/>
      <c r="WQC1" s="47"/>
      <c r="WQD1" s="47"/>
      <c r="WQE1" s="47"/>
      <c r="WQF1" s="47"/>
      <c r="WQG1" s="47"/>
      <c r="WQH1" s="47"/>
      <c r="WQI1" s="47"/>
      <c r="WQJ1" s="47"/>
      <c r="WQK1" s="47"/>
      <c r="WQL1" s="47"/>
      <c r="WQM1" s="47"/>
      <c r="WQN1" s="47"/>
      <c r="WQO1" s="47"/>
      <c r="WQP1" s="47"/>
      <c r="WQQ1" s="47"/>
      <c r="WQR1" s="47"/>
      <c r="WQS1" s="47"/>
      <c r="WQT1" s="47"/>
      <c r="WQU1" s="47"/>
      <c r="WQV1" s="47"/>
      <c r="WQW1" s="47"/>
      <c r="WQX1" s="47"/>
      <c r="WQY1" s="47"/>
      <c r="WQZ1" s="47"/>
      <c r="WRA1" s="47"/>
      <c r="WRB1" s="47"/>
      <c r="WRC1" s="47"/>
      <c r="WRD1" s="47"/>
      <c r="WRE1" s="47"/>
      <c r="WRF1" s="47"/>
      <c r="WRG1" s="47"/>
      <c r="WRH1" s="47"/>
      <c r="WRI1" s="47"/>
      <c r="WRJ1" s="47"/>
      <c r="WRK1" s="47"/>
      <c r="WRL1" s="47"/>
      <c r="WRM1" s="47"/>
      <c r="WRN1" s="47"/>
      <c r="WRO1" s="47"/>
      <c r="WRP1" s="47"/>
      <c r="WRQ1" s="47"/>
      <c r="WRR1" s="47"/>
      <c r="WRS1" s="47"/>
      <c r="WRT1" s="47"/>
      <c r="WRU1" s="47"/>
      <c r="WRV1" s="47"/>
      <c r="WRW1" s="47"/>
      <c r="WRX1" s="47"/>
      <c r="WRY1" s="47"/>
      <c r="WRZ1" s="47"/>
      <c r="WSA1" s="47"/>
      <c r="WSB1" s="47"/>
      <c r="WSC1" s="47"/>
      <c r="WSD1" s="47"/>
      <c r="WSE1" s="47"/>
      <c r="WSF1" s="47"/>
      <c r="WSG1" s="47"/>
      <c r="WSH1" s="47"/>
      <c r="WSI1" s="47"/>
      <c r="WSJ1" s="47"/>
      <c r="WSK1" s="47"/>
      <c r="WSL1" s="47"/>
      <c r="WSM1" s="47"/>
      <c r="WSN1" s="47"/>
      <c r="WSO1" s="47"/>
      <c r="WSP1" s="47"/>
      <c r="WSQ1" s="47"/>
      <c r="WSR1" s="47"/>
      <c r="WSS1" s="47"/>
      <c r="WST1" s="47"/>
      <c r="WSU1" s="47"/>
      <c r="WSV1" s="47"/>
      <c r="WSW1" s="47"/>
      <c r="WSX1" s="47"/>
      <c r="WSY1" s="47"/>
      <c r="WSZ1" s="47"/>
      <c r="WTA1" s="47"/>
      <c r="WTB1" s="47"/>
      <c r="WTC1" s="47"/>
      <c r="WTD1" s="47"/>
      <c r="WTE1" s="47"/>
      <c r="WTF1" s="47"/>
      <c r="WTG1" s="47"/>
      <c r="WTH1" s="47"/>
      <c r="WTI1" s="47"/>
      <c r="WTJ1" s="47"/>
      <c r="WTK1" s="47"/>
      <c r="WTL1" s="47"/>
      <c r="WTM1" s="47"/>
      <c r="WTN1" s="47"/>
      <c r="WTO1" s="47"/>
      <c r="WTP1" s="47"/>
      <c r="WTQ1" s="47"/>
      <c r="WTR1" s="47"/>
      <c r="WTS1" s="47"/>
      <c r="WTT1" s="47"/>
      <c r="WTU1" s="47"/>
      <c r="WTV1" s="47"/>
      <c r="WTW1" s="47"/>
      <c r="WTX1" s="47"/>
      <c r="WTY1" s="47"/>
      <c r="WTZ1" s="47"/>
      <c r="WUA1" s="47"/>
      <c r="WUB1" s="47"/>
      <c r="WUC1" s="47"/>
      <c r="WUD1" s="47"/>
      <c r="WUE1" s="47"/>
      <c r="WUF1" s="47"/>
      <c r="WUG1" s="47"/>
      <c r="WUH1" s="47"/>
      <c r="WUI1" s="47"/>
      <c r="WUJ1" s="47"/>
      <c r="WUK1" s="47"/>
      <c r="WUL1" s="47"/>
      <c r="WUM1" s="47"/>
      <c r="WUN1" s="47"/>
      <c r="WUO1" s="47"/>
      <c r="WUP1" s="47"/>
      <c r="WUQ1" s="47"/>
      <c r="WUR1" s="47"/>
      <c r="WUS1" s="47"/>
      <c r="WUT1" s="47"/>
      <c r="WUU1" s="47"/>
      <c r="WUV1" s="47"/>
      <c r="WUW1" s="47"/>
      <c r="WUX1" s="47"/>
      <c r="WUY1" s="47"/>
      <c r="WUZ1" s="47"/>
      <c r="WVA1" s="47"/>
      <c r="WVB1" s="47"/>
      <c r="WVC1" s="47"/>
      <c r="WVD1" s="47"/>
      <c r="WVE1" s="47"/>
      <c r="WVF1" s="47"/>
      <c r="WVG1" s="47"/>
      <c r="WVH1" s="47"/>
      <c r="WVI1" s="47"/>
      <c r="WVJ1" s="47"/>
      <c r="WVK1" s="47"/>
      <c r="WVL1" s="47"/>
      <c r="WVM1" s="47"/>
      <c r="WVN1" s="47"/>
      <c r="WVO1" s="47"/>
      <c r="WVP1" s="47"/>
      <c r="WVQ1" s="47"/>
      <c r="WVR1" s="47"/>
      <c r="WVS1" s="47"/>
      <c r="WVT1" s="47"/>
      <c r="WVU1" s="47"/>
      <c r="WVV1" s="47"/>
      <c r="WVW1" s="47"/>
      <c r="WVX1" s="47"/>
      <c r="WVY1" s="47"/>
      <c r="WVZ1" s="47"/>
      <c r="WWA1" s="47"/>
      <c r="WWB1" s="47"/>
      <c r="WWC1" s="47"/>
      <c r="WWD1" s="47"/>
      <c r="WWE1" s="47"/>
      <c r="WWF1" s="47"/>
      <c r="WWG1" s="47"/>
      <c r="WWH1" s="47"/>
      <c r="WWI1" s="47"/>
      <c r="WWJ1" s="47"/>
      <c r="WWK1" s="47"/>
      <c r="WWL1" s="47"/>
      <c r="WWM1" s="47"/>
      <c r="WWN1" s="47"/>
      <c r="WWO1" s="47"/>
      <c r="WWP1" s="47"/>
      <c r="WWQ1" s="47"/>
      <c r="WWR1" s="47"/>
      <c r="WWS1" s="47"/>
      <c r="WWT1" s="47"/>
      <c r="WWU1" s="47"/>
      <c r="WWV1" s="47"/>
      <c r="WWW1" s="47"/>
      <c r="WWX1" s="47"/>
      <c r="WWY1" s="47"/>
      <c r="WWZ1" s="47"/>
      <c r="WXA1" s="47"/>
      <c r="WXB1" s="47"/>
      <c r="WXC1" s="47"/>
      <c r="WXD1" s="47"/>
      <c r="WXE1" s="47"/>
      <c r="WXF1" s="47"/>
      <c r="WXG1" s="47"/>
      <c r="WXH1" s="47"/>
      <c r="WXI1" s="47"/>
      <c r="WXJ1" s="47"/>
      <c r="WXK1" s="47"/>
      <c r="WXL1" s="47"/>
      <c r="WXM1" s="47"/>
      <c r="WXN1" s="47"/>
      <c r="WXO1" s="47"/>
      <c r="WXP1" s="47"/>
      <c r="WXQ1" s="47"/>
      <c r="WXR1" s="47"/>
      <c r="WXS1" s="47"/>
      <c r="WXT1" s="47"/>
      <c r="WXU1" s="47"/>
      <c r="WXV1" s="47"/>
      <c r="WXW1" s="47"/>
      <c r="WXX1" s="47"/>
      <c r="WXY1" s="47"/>
      <c r="WXZ1" s="47"/>
      <c r="WYA1" s="47"/>
      <c r="WYB1" s="47"/>
      <c r="WYC1" s="47"/>
      <c r="WYD1" s="47"/>
      <c r="WYE1" s="47"/>
      <c r="WYF1" s="47"/>
      <c r="WYG1" s="47"/>
      <c r="WYH1" s="47"/>
      <c r="WYI1" s="47"/>
      <c r="WYJ1" s="47"/>
      <c r="WYK1" s="47"/>
      <c r="WYL1" s="47"/>
      <c r="WYM1" s="47"/>
      <c r="WYN1" s="47"/>
      <c r="WYO1" s="47"/>
      <c r="WYP1" s="47"/>
      <c r="WYQ1" s="47"/>
      <c r="WYR1" s="47"/>
      <c r="WYS1" s="47"/>
      <c r="WYT1" s="47"/>
      <c r="WYU1" s="47"/>
      <c r="WYV1" s="47"/>
      <c r="WYW1" s="47"/>
      <c r="WYX1" s="47"/>
      <c r="WYY1" s="47"/>
      <c r="WYZ1" s="47"/>
      <c r="WZA1" s="47"/>
      <c r="WZB1" s="47"/>
      <c r="WZC1" s="47"/>
      <c r="WZD1" s="47"/>
      <c r="WZE1" s="47"/>
      <c r="WZF1" s="47"/>
      <c r="WZG1" s="47"/>
      <c r="WZH1" s="47"/>
      <c r="WZI1" s="47"/>
      <c r="WZJ1" s="47"/>
      <c r="WZK1" s="47"/>
      <c r="WZL1" s="47"/>
      <c r="WZM1" s="47"/>
      <c r="WZN1" s="47"/>
      <c r="WZO1" s="47"/>
      <c r="WZP1" s="47"/>
      <c r="WZQ1" s="47"/>
      <c r="WZR1" s="47"/>
      <c r="WZS1" s="47"/>
      <c r="WZT1" s="47"/>
      <c r="WZU1" s="47"/>
      <c r="WZV1" s="47"/>
      <c r="WZW1" s="47"/>
      <c r="WZX1" s="47"/>
      <c r="WZY1" s="47"/>
      <c r="WZZ1" s="47"/>
      <c r="XAA1" s="47"/>
      <c r="XAB1" s="47"/>
      <c r="XAC1" s="47"/>
      <c r="XAD1" s="47"/>
      <c r="XAE1" s="47"/>
      <c r="XAF1" s="47"/>
      <c r="XAG1" s="47"/>
      <c r="XAH1" s="47"/>
      <c r="XAI1" s="47"/>
      <c r="XAJ1" s="47"/>
      <c r="XAK1" s="47"/>
      <c r="XAL1" s="47"/>
      <c r="XAM1" s="47"/>
      <c r="XAN1" s="47"/>
      <c r="XAO1" s="47"/>
      <c r="XAP1" s="47"/>
      <c r="XAQ1" s="47"/>
      <c r="XAR1" s="47"/>
      <c r="XAS1" s="47"/>
      <c r="XAT1" s="47"/>
      <c r="XAU1" s="47"/>
      <c r="XAV1" s="47"/>
      <c r="XAW1" s="47"/>
      <c r="XAX1" s="47"/>
      <c r="XAY1" s="47"/>
      <c r="XAZ1" s="47"/>
      <c r="XBA1" s="47"/>
      <c r="XBB1" s="47"/>
      <c r="XBC1" s="47"/>
      <c r="XBD1" s="47"/>
      <c r="XBE1" s="47"/>
      <c r="XBF1" s="47"/>
      <c r="XBG1" s="47"/>
      <c r="XBH1" s="47"/>
      <c r="XBI1" s="47"/>
      <c r="XBJ1" s="47"/>
      <c r="XBK1" s="47"/>
      <c r="XBL1" s="47"/>
      <c r="XBM1" s="47"/>
      <c r="XBN1" s="47"/>
      <c r="XBO1" s="47"/>
      <c r="XBP1" s="47"/>
      <c r="XBQ1" s="47"/>
      <c r="XBR1" s="47"/>
      <c r="XBS1" s="47"/>
      <c r="XBT1" s="47"/>
      <c r="XBU1" s="47"/>
      <c r="XBV1" s="47"/>
      <c r="XBW1" s="47"/>
      <c r="XBX1" s="47"/>
      <c r="XBY1" s="47"/>
      <c r="XBZ1" s="47"/>
      <c r="XCA1" s="47"/>
      <c r="XCB1" s="47"/>
      <c r="XCC1" s="47"/>
      <c r="XCD1" s="47"/>
      <c r="XCE1" s="47"/>
      <c r="XCF1" s="47"/>
      <c r="XCG1" s="47"/>
      <c r="XCH1" s="47"/>
      <c r="XCI1" s="47"/>
      <c r="XCJ1" s="47"/>
      <c r="XCK1" s="47"/>
      <c r="XCL1" s="47"/>
      <c r="XCM1" s="47"/>
      <c r="XCN1" s="47"/>
      <c r="XCO1" s="47"/>
      <c r="XCP1" s="47"/>
      <c r="XCQ1" s="47"/>
      <c r="XCR1" s="47"/>
      <c r="XCS1" s="47"/>
      <c r="XCT1" s="47"/>
      <c r="XCU1" s="47"/>
      <c r="XCV1" s="47"/>
      <c r="XCW1" s="47"/>
      <c r="XCX1" s="47"/>
      <c r="XCY1" s="47"/>
      <c r="XCZ1" s="47"/>
      <c r="XDA1" s="47"/>
      <c r="XDB1" s="47"/>
      <c r="XDC1" s="47"/>
      <c r="XDD1" s="47"/>
      <c r="XDE1" s="47"/>
      <c r="XDF1" s="47"/>
      <c r="XDG1" s="47"/>
      <c r="XDH1" s="47"/>
      <c r="XDI1" s="47"/>
      <c r="XDJ1" s="47"/>
      <c r="XDK1" s="47"/>
      <c r="XDL1" s="47"/>
      <c r="XDM1" s="47"/>
      <c r="XDN1" s="47"/>
      <c r="XDO1" s="47"/>
      <c r="XDP1" s="47"/>
      <c r="XDQ1" s="47"/>
      <c r="XDR1" s="47"/>
      <c r="XDS1" s="47"/>
      <c r="XDT1" s="47"/>
      <c r="XDU1" s="47"/>
      <c r="XDV1" s="47"/>
      <c r="XDW1" s="47"/>
      <c r="XDX1" s="47"/>
      <c r="XDY1" s="47"/>
      <c r="XDZ1" s="47"/>
      <c r="XEA1" s="47"/>
      <c r="XEB1" s="47"/>
      <c r="XEC1" s="47"/>
      <c r="XED1" s="47"/>
      <c r="XEE1" s="47"/>
      <c r="XEF1" s="47"/>
      <c r="XEG1" s="47"/>
      <c r="XEH1" s="47"/>
      <c r="XEI1" s="47"/>
      <c r="XEJ1" s="47"/>
      <c r="XEK1" s="47"/>
      <c r="XEL1" s="47"/>
      <c r="XEM1" s="47"/>
      <c r="XEN1" s="47"/>
      <c r="XEO1" s="47"/>
      <c r="XEP1" s="47"/>
      <c r="XEQ1" s="47"/>
      <c r="XER1" s="47"/>
      <c r="XES1" s="47"/>
      <c r="XET1" s="47"/>
      <c r="XEU1" s="47"/>
      <c r="XEV1" s="47"/>
      <c r="XEW1" s="47"/>
      <c r="XEX1" s="47"/>
      <c r="XEY1" s="47"/>
      <c r="XEZ1" s="47"/>
      <c r="XFA1" s="47"/>
      <c r="XFB1" s="47"/>
      <c r="XFC1" s="47"/>
      <c r="XFD1" s="47"/>
    </row>
    <row r="2" spans="1:16384" ht="4.5" hidden="1" customHeight="1" thickTop="1" x14ac:dyDescent="0.3">
      <c r="A2" s="36"/>
      <c r="B2" s="38"/>
      <c r="C2" s="60"/>
      <c r="D2" s="38"/>
      <c r="E2" s="38"/>
      <c r="F2" s="38"/>
      <c r="G2" s="38"/>
      <c r="H2" s="38"/>
      <c r="I2" s="38"/>
      <c r="J2" s="38"/>
      <c r="K2" s="38"/>
      <c r="L2" s="38"/>
      <c r="M2" s="38"/>
      <c r="N2" s="38"/>
      <c r="O2" s="38"/>
      <c r="P2" s="38"/>
      <c r="Q2" s="38"/>
      <c r="R2" s="38"/>
      <c r="S2" s="38"/>
      <c r="T2" s="38"/>
      <c r="U2" s="38"/>
      <c r="V2" s="38"/>
      <c r="W2" s="38"/>
      <c r="X2" s="38"/>
      <c r="Y2" s="199"/>
      <c r="Z2" s="38"/>
      <c r="AA2" s="38"/>
      <c r="AB2" s="38"/>
      <c r="AC2" s="38"/>
      <c r="AD2" s="38"/>
      <c r="AE2" s="38"/>
      <c r="AF2" s="38"/>
      <c r="AG2" s="626"/>
      <c r="AJ2" s="47"/>
      <c r="AK2" s="47"/>
      <c r="AL2" s="47"/>
      <c r="BA2" s="196"/>
    </row>
    <row r="3" spans="1:16384" ht="15" customHeight="1" thickTop="1" thickBot="1" x14ac:dyDescent="0.35">
      <c r="A3" s="38"/>
      <c r="B3" s="13"/>
      <c r="AC3" s="13"/>
      <c r="AD3" s="13"/>
      <c r="AE3" s="38"/>
      <c r="AF3" s="38"/>
      <c r="AG3" s="626"/>
      <c r="AJ3" s="47"/>
      <c r="AK3" s="47"/>
      <c r="AL3" s="47"/>
      <c r="BA3" s="197"/>
    </row>
    <row r="4" spans="1:16384" s="47" customFormat="1" ht="18" customHeight="1" x14ac:dyDescent="0.4">
      <c r="A4" s="91"/>
      <c r="B4" s="202"/>
      <c r="C4" s="2173" t="s">
        <v>241</v>
      </c>
      <c r="D4" s="2174"/>
      <c r="E4" s="2174"/>
      <c r="F4" s="2174"/>
      <c r="G4" s="2174"/>
      <c r="H4" s="2174"/>
      <c r="I4" s="2174"/>
      <c r="J4" s="2174"/>
      <c r="K4" s="2174"/>
      <c r="L4" s="2174"/>
      <c r="M4" s="2174"/>
      <c r="N4" s="2174"/>
      <c r="O4" s="2174"/>
      <c r="P4" s="2174"/>
      <c r="Q4" s="2174"/>
      <c r="R4" s="2174"/>
      <c r="S4" s="2174"/>
      <c r="T4" s="2175"/>
      <c r="U4" s="171"/>
      <c r="V4" s="400"/>
      <c r="W4" s="401"/>
      <c r="X4" s="401"/>
      <c r="Y4" s="401"/>
      <c r="Z4" s="401"/>
      <c r="AA4" s="401"/>
      <c r="AB4" s="402"/>
      <c r="AC4" s="171"/>
      <c r="AD4" s="2196" t="s">
        <v>67</v>
      </c>
      <c r="AE4" s="2186" t="s">
        <v>810</v>
      </c>
      <c r="AF4" s="38"/>
      <c r="AG4" s="626"/>
      <c r="BA4" s="79"/>
    </row>
    <row r="5" spans="1:16384" s="47" customFormat="1" ht="15" customHeight="1" x14ac:dyDescent="0.4">
      <c r="A5" s="91"/>
      <c r="B5" s="203"/>
      <c r="C5" s="2176" t="s">
        <v>47</v>
      </c>
      <c r="D5" s="2177"/>
      <c r="E5" s="2177"/>
      <c r="F5" s="2177"/>
      <c r="G5" s="2177"/>
      <c r="H5" s="2177"/>
      <c r="I5" s="2177"/>
      <c r="J5" s="2177"/>
      <c r="K5" s="2177"/>
      <c r="L5" s="2177"/>
      <c r="M5" s="188"/>
      <c r="N5" s="2177" t="s">
        <v>0</v>
      </c>
      <c r="O5" s="2177"/>
      <c r="P5" s="2177"/>
      <c r="Q5" s="2177"/>
      <c r="R5" s="2177"/>
      <c r="S5" s="2177"/>
      <c r="T5" s="2178"/>
      <c r="U5" s="171"/>
      <c r="V5" s="2193" t="s">
        <v>194</v>
      </c>
      <c r="W5" s="2194"/>
      <c r="X5" s="2194"/>
      <c r="Y5" s="2194"/>
      <c r="Z5" s="2194"/>
      <c r="AA5" s="2194"/>
      <c r="AB5" s="2195"/>
      <c r="AC5" s="171"/>
      <c r="AD5" s="2196"/>
      <c r="AE5" s="2186"/>
      <c r="AF5" s="38"/>
      <c r="AG5" s="626"/>
      <c r="BA5" s="60"/>
    </row>
    <row r="6" spans="1:16384" ht="15" customHeight="1" x14ac:dyDescent="0.4">
      <c r="A6" s="91"/>
      <c r="B6" s="204"/>
      <c r="C6" s="184"/>
      <c r="D6" s="177"/>
      <c r="E6" s="177"/>
      <c r="F6" s="177"/>
      <c r="G6" s="177"/>
      <c r="H6" s="177"/>
      <c r="I6" s="177"/>
      <c r="J6" s="177"/>
      <c r="K6" s="177"/>
      <c r="L6" s="177"/>
      <c r="M6" s="189"/>
      <c r="N6" s="189"/>
      <c r="O6" s="190"/>
      <c r="P6" s="63"/>
      <c r="Q6" s="168"/>
      <c r="R6" s="168"/>
      <c r="S6" s="168"/>
      <c r="T6" s="169"/>
      <c r="U6" s="172"/>
      <c r="V6" s="2200" t="s">
        <v>41</v>
      </c>
      <c r="W6" s="2197" t="str">
        <f>Dashboard!P52</f>
        <v>The project is an excellent fit with strategic suitability. It strongly aligns with government priorities. The project has been scoped out based on clear articulation of service needs and after examining various service delivery options.</v>
      </c>
      <c r="X6" s="2197"/>
      <c r="Y6" s="2197"/>
      <c r="Z6" s="2197"/>
      <c r="AA6" s="2197"/>
      <c r="AB6" s="2197"/>
      <c r="AC6" s="191"/>
      <c r="AD6" s="2196"/>
      <c r="AE6" s="2186"/>
      <c r="AF6" s="38"/>
      <c r="AG6" s="626"/>
      <c r="AJ6" s="47"/>
      <c r="AK6" s="47"/>
      <c r="AL6" s="47"/>
      <c r="BA6" s="628" t="str">
        <f>IF('Data Analysis'!H282=0,SuitabilityB,"")</f>
        <v/>
      </c>
    </row>
    <row r="7" spans="1:16384" s="47" customFormat="1" ht="15" customHeight="1" x14ac:dyDescent="0.3">
      <c r="A7" s="91"/>
      <c r="B7" s="91">
        <v>0</v>
      </c>
      <c r="C7" s="92">
        <v>0.5</v>
      </c>
      <c r="D7" s="93">
        <f>C7+0.5</f>
        <v>1</v>
      </c>
      <c r="E7" s="93">
        <f t="shared" ref="E7:L7" si="0">D7+0.5</f>
        <v>1.5</v>
      </c>
      <c r="F7" s="93">
        <f t="shared" si="0"/>
        <v>2</v>
      </c>
      <c r="G7" s="93">
        <f t="shared" si="0"/>
        <v>2.5</v>
      </c>
      <c r="H7" s="93">
        <f t="shared" si="0"/>
        <v>3</v>
      </c>
      <c r="I7" s="93">
        <f t="shared" si="0"/>
        <v>3.5</v>
      </c>
      <c r="J7" s="93">
        <f t="shared" si="0"/>
        <v>4</v>
      </c>
      <c r="K7" s="93">
        <f>J7+0.5</f>
        <v>4.5</v>
      </c>
      <c r="L7" s="93">
        <f t="shared" si="0"/>
        <v>5</v>
      </c>
      <c r="M7" s="93"/>
      <c r="N7" s="93">
        <f>L7+0.5</f>
        <v>5.5</v>
      </c>
      <c r="O7" s="178"/>
      <c r="P7" s="168"/>
      <c r="Q7" s="168"/>
      <c r="R7" s="168"/>
      <c r="S7" s="168"/>
      <c r="T7" s="169"/>
      <c r="U7" s="172"/>
      <c r="V7" s="2200"/>
      <c r="W7" s="2197"/>
      <c r="X7" s="2197"/>
      <c r="Y7" s="2197"/>
      <c r="Z7" s="2197"/>
      <c r="AA7" s="2197"/>
      <c r="AB7" s="2197"/>
      <c r="AC7" s="191"/>
      <c r="AD7" s="2196"/>
      <c r="AE7" s="2186" t="s">
        <v>430</v>
      </c>
      <c r="AF7" s="38"/>
      <c r="AG7" s="626"/>
      <c r="BA7" s="60"/>
    </row>
    <row r="8" spans="1:16384" s="47" customFormat="1" ht="15" customHeight="1" x14ac:dyDescent="0.3">
      <c r="A8" s="91"/>
      <c r="B8" s="54"/>
      <c r="C8" s="428" t="s">
        <v>225</v>
      </c>
      <c r="D8" s="57"/>
      <c r="E8" s="57"/>
      <c r="F8" s="57"/>
      <c r="G8" s="57"/>
      <c r="H8" s="57"/>
      <c r="I8" s="57"/>
      <c r="J8" s="57"/>
      <c r="K8" s="57"/>
      <c r="L8" s="57"/>
      <c r="M8" s="57"/>
      <c r="N8" s="57"/>
      <c r="O8" s="179"/>
      <c r="P8" s="168"/>
      <c r="Q8" s="168"/>
      <c r="R8" s="168"/>
      <c r="S8" s="168"/>
      <c r="T8" s="169"/>
      <c r="U8" s="172"/>
      <c r="V8" s="2200"/>
      <c r="W8" s="2197"/>
      <c r="X8" s="2197"/>
      <c r="Y8" s="2197"/>
      <c r="Z8" s="2197"/>
      <c r="AA8" s="2197"/>
      <c r="AB8" s="2197"/>
      <c r="AC8" s="191"/>
      <c r="AD8" s="2196"/>
      <c r="AE8" s="2186"/>
      <c r="AF8" s="38"/>
      <c r="AG8" s="626"/>
      <c r="BA8" s="60"/>
    </row>
    <row r="9" spans="1:16384" s="47" customFormat="1" ht="15" customHeight="1" x14ac:dyDescent="0.35">
      <c r="A9" s="91"/>
      <c r="B9" s="91">
        <f>Admin!J5</f>
        <v>5</v>
      </c>
      <c r="C9" s="411" t="str">
        <f>IF(AND($B$9&lt;=C7,$B$9&lt;D7),"↓","")</f>
        <v/>
      </c>
      <c r="D9" s="412" t="str">
        <f t="shared" ref="D9:K9" si="1">IF(AND($B$9&gt;=D7,$B$9&lt;E7),"↓","")</f>
        <v/>
      </c>
      <c r="E9" s="412" t="str">
        <f t="shared" si="1"/>
        <v/>
      </c>
      <c r="F9" s="412" t="str">
        <f t="shared" si="1"/>
        <v/>
      </c>
      <c r="G9" s="412" t="str">
        <f t="shared" si="1"/>
        <v/>
      </c>
      <c r="H9" s="412" t="str">
        <f t="shared" si="1"/>
        <v/>
      </c>
      <c r="I9" s="412" t="str">
        <f t="shared" si="1"/>
        <v/>
      </c>
      <c r="J9" s="412" t="str">
        <f t="shared" si="1"/>
        <v/>
      </c>
      <c r="K9" s="412" t="str">
        <f t="shared" si="1"/>
        <v/>
      </c>
      <c r="L9" s="412" t="str">
        <f>IF(AND($B$9&gt;=L7,$B$9&lt;=N7),"↓","")</f>
        <v>↓</v>
      </c>
      <c r="M9" s="49"/>
      <c r="N9" s="180"/>
      <c r="O9" s="180"/>
      <c r="P9" s="168"/>
      <c r="Q9" s="168" t="s">
        <v>271</v>
      </c>
      <c r="R9" s="168"/>
      <c r="S9" s="168"/>
      <c r="T9" s="169"/>
      <c r="U9" s="172"/>
      <c r="V9" s="2200"/>
      <c r="W9" s="2197"/>
      <c r="X9" s="2197"/>
      <c r="Y9" s="2197"/>
      <c r="Z9" s="2197"/>
      <c r="AA9" s="2197"/>
      <c r="AB9" s="2197"/>
      <c r="AC9" s="191"/>
      <c r="AD9" s="2196"/>
      <c r="AE9" s="2186"/>
      <c r="AF9" s="38"/>
      <c r="AG9" s="626"/>
      <c r="BA9" s="79"/>
    </row>
    <row r="10" spans="1:16384" s="47" customFormat="1" ht="15" customHeight="1" x14ac:dyDescent="0.35">
      <c r="A10" s="91"/>
      <c r="B10" s="91"/>
      <c r="C10" s="185"/>
      <c r="D10" s="63" t="str">
        <f t="shared" ref="D10:I10" si="2">IF(AND($B$10&gt;C13,$B$10&lt;=D13),"↓","")</f>
        <v/>
      </c>
      <c r="E10" s="64" t="str">
        <f t="shared" si="2"/>
        <v/>
      </c>
      <c r="F10" s="64" t="str">
        <f t="shared" si="2"/>
        <v/>
      </c>
      <c r="G10" s="64" t="str">
        <f t="shared" si="2"/>
        <v/>
      </c>
      <c r="H10" s="64" t="str">
        <f t="shared" si="2"/>
        <v/>
      </c>
      <c r="I10" s="64" t="str">
        <f t="shared" si="2"/>
        <v/>
      </c>
      <c r="J10" s="64"/>
      <c r="K10" s="64"/>
      <c r="L10" s="64"/>
      <c r="M10" s="64"/>
      <c r="N10" s="64"/>
      <c r="O10" s="64"/>
      <c r="P10" s="168"/>
      <c r="Q10" s="168"/>
      <c r="R10" s="168"/>
      <c r="S10" s="168"/>
      <c r="T10" s="169"/>
      <c r="U10" s="172"/>
      <c r="V10" s="2200"/>
      <c r="W10" s="2197"/>
      <c r="X10" s="2197"/>
      <c r="Y10" s="2197"/>
      <c r="Z10" s="2197"/>
      <c r="AA10" s="2197"/>
      <c r="AB10" s="2197"/>
      <c r="AC10" s="191"/>
      <c r="AD10" s="2196"/>
      <c r="AE10" s="2186" t="s">
        <v>903</v>
      </c>
      <c r="AF10" s="38"/>
      <c r="AG10" s="626"/>
      <c r="BA10" s="60"/>
      <c r="BL10" s="54"/>
      <c r="BM10" s="54"/>
      <c r="BN10" s="54"/>
      <c r="BO10" s="54"/>
      <c r="BP10" s="54"/>
      <c r="BQ10" s="54"/>
      <c r="BR10" s="54"/>
      <c r="BS10" s="54"/>
    </row>
    <row r="11" spans="1:16384" s="47" customFormat="1" ht="15" customHeight="1" x14ac:dyDescent="0.3">
      <c r="A11" s="91"/>
      <c r="B11" s="54"/>
      <c r="C11" s="428" t="s">
        <v>441</v>
      </c>
      <c r="D11" s="167"/>
      <c r="E11" s="167"/>
      <c r="F11" s="167"/>
      <c r="G11" s="167"/>
      <c r="H11" s="167"/>
      <c r="I11" s="167"/>
      <c r="J11" s="167"/>
      <c r="K11" s="167"/>
      <c r="L11" s="167"/>
      <c r="M11" s="57"/>
      <c r="N11" s="57"/>
      <c r="O11" s="57"/>
      <c r="P11" s="168"/>
      <c r="Q11" s="168"/>
      <c r="R11" s="168"/>
      <c r="S11" s="168"/>
      <c r="T11" s="169"/>
      <c r="U11" s="172"/>
      <c r="V11" s="2200"/>
      <c r="W11" s="2197"/>
      <c r="X11" s="2197"/>
      <c r="Y11" s="2197"/>
      <c r="Z11" s="2197"/>
      <c r="AA11" s="2197"/>
      <c r="AB11" s="2197"/>
      <c r="AC11" s="191"/>
      <c r="AD11" s="2196"/>
      <c r="AE11" s="2186"/>
      <c r="AF11" s="38"/>
      <c r="AG11" s="626"/>
      <c r="BA11" s="195" t="str">
        <f>IF('Data Analysis'!H287=0,SuitabilityC,"")</f>
        <v/>
      </c>
      <c r="BL11" s="54"/>
      <c r="BM11" s="54"/>
      <c r="BN11" s="54"/>
      <c r="BO11" s="54"/>
      <c r="BP11" s="54"/>
      <c r="BQ11" s="54"/>
      <c r="BR11" s="54"/>
      <c r="BS11" s="54"/>
    </row>
    <row r="12" spans="1:16384" ht="15" customHeight="1" x14ac:dyDescent="0.3">
      <c r="A12" s="91"/>
      <c r="B12" s="91">
        <f>Admin!J6</f>
        <v>5</v>
      </c>
      <c r="C12" s="410" t="str">
        <f>IF(AND($B$12&lt;=C7,$B$12&lt;D7),"↓","")</f>
        <v/>
      </c>
      <c r="D12" s="89" t="str">
        <f t="shared" ref="D12:K12" si="3">IF(AND($B$12&gt;=D7,$B$12&lt;E7),"↓","")</f>
        <v/>
      </c>
      <c r="E12" s="89" t="str">
        <f t="shared" si="3"/>
        <v/>
      </c>
      <c r="F12" s="89" t="str">
        <f t="shared" si="3"/>
        <v/>
      </c>
      <c r="G12" s="89" t="str">
        <f t="shared" si="3"/>
        <v/>
      </c>
      <c r="H12" s="89" t="str">
        <f t="shared" si="3"/>
        <v/>
      </c>
      <c r="I12" s="89" t="str">
        <f t="shared" si="3"/>
        <v/>
      </c>
      <c r="J12" s="89" t="str">
        <f t="shared" si="3"/>
        <v/>
      </c>
      <c r="K12" s="89" t="str">
        <f t="shared" si="3"/>
        <v/>
      </c>
      <c r="L12" s="89" t="str">
        <f>IF(AND($B$12&gt;=L7,$B$12&lt;=N7),"↓","")</f>
        <v>↓</v>
      </c>
      <c r="M12" s="66"/>
      <c r="N12" s="61"/>
      <c r="O12" s="61"/>
      <c r="P12" s="163"/>
      <c r="Q12" s="163"/>
      <c r="R12" s="163"/>
      <c r="S12" s="163"/>
      <c r="T12" s="164"/>
      <c r="U12" s="173"/>
      <c r="V12" s="2200"/>
      <c r="W12" s="2197"/>
      <c r="X12" s="2197"/>
      <c r="Y12" s="2197"/>
      <c r="Z12" s="2197"/>
      <c r="AA12" s="2197"/>
      <c r="AB12" s="2197"/>
      <c r="AC12" s="162"/>
      <c r="AD12" s="2196"/>
      <c r="AE12" s="2186"/>
      <c r="AF12" s="38"/>
      <c r="AG12" s="626"/>
      <c r="AJ12" s="47"/>
      <c r="AK12" s="47"/>
      <c r="AL12" s="47"/>
      <c r="BL12" s="54"/>
      <c r="BM12" s="54"/>
      <c r="BN12" s="54"/>
      <c r="BO12" s="54"/>
      <c r="BP12" s="54"/>
      <c r="BQ12" s="54"/>
      <c r="BR12" s="54"/>
      <c r="BS12" s="54"/>
    </row>
    <row r="13" spans="1:16384" s="47" customFormat="1" ht="15" customHeight="1" x14ac:dyDescent="0.45">
      <c r="A13" s="91"/>
      <c r="B13" s="91"/>
      <c r="C13" s="111"/>
      <c r="D13" s="67"/>
      <c r="E13" s="67"/>
      <c r="F13" s="67"/>
      <c r="G13" s="67"/>
      <c r="H13" s="67"/>
      <c r="I13" s="67"/>
      <c r="J13" s="67"/>
      <c r="K13" s="67"/>
      <c r="L13" s="67"/>
      <c r="M13" s="67"/>
      <c r="N13" s="181"/>
      <c r="O13" s="181"/>
      <c r="P13" s="4"/>
      <c r="Q13" s="176"/>
      <c r="R13" s="176"/>
      <c r="S13" s="176"/>
      <c r="T13" s="183"/>
      <c r="U13" s="171"/>
      <c r="V13" s="2190" t="str">
        <f>Dashboard!W50</f>
        <v>Identified areas to address</v>
      </c>
      <c r="W13" s="2191"/>
      <c r="X13" s="2191"/>
      <c r="Y13" s="2191"/>
      <c r="Z13" s="2191"/>
      <c r="AA13" s="2191"/>
      <c r="AB13" s="2192"/>
      <c r="AC13" s="162"/>
      <c r="AD13" s="2196"/>
      <c r="AE13" s="2186" t="s">
        <v>884</v>
      </c>
      <c r="AF13" s="38"/>
      <c r="AG13" s="626"/>
      <c r="BL13" s="54"/>
      <c r="BM13" s="54"/>
      <c r="BN13" s="54"/>
      <c r="BO13" s="54"/>
      <c r="BP13" s="54"/>
      <c r="BQ13" s="54"/>
      <c r="BR13" s="54"/>
      <c r="BS13" s="54"/>
    </row>
    <row r="14" spans="1:16384" s="47" customFormat="1" ht="15" customHeight="1" x14ac:dyDescent="0.3">
      <c r="A14" s="91"/>
      <c r="B14" s="54"/>
      <c r="C14" s="428" t="s">
        <v>58</v>
      </c>
      <c r="D14" s="167"/>
      <c r="E14" s="167"/>
      <c r="F14" s="167"/>
      <c r="G14" s="167"/>
      <c r="H14" s="167"/>
      <c r="I14" s="167"/>
      <c r="J14" s="167"/>
      <c r="K14" s="167"/>
      <c r="L14" s="167"/>
      <c r="M14" s="57"/>
      <c r="N14" s="57"/>
      <c r="O14" s="57"/>
      <c r="P14" s="4"/>
      <c r="Q14" s="168"/>
      <c r="R14" s="168"/>
      <c r="S14" s="168"/>
      <c r="T14" s="169"/>
      <c r="U14" s="172"/>
      <c r="V14" s="2199" t="s">
        <v>41</v>
      </c>
      <c r="W14" s="2197" t="str">
        <f>Dashboard!W52</f>
        <v>.</v>
      </c>
      <c r="X14" s="2197"/>
      <c r="Y14" s="2197"/>
      <c r="Z14" s="2197"/>
      <c r="AA14" s="2197"/>
      <c r="AB14" s="2198"/>
      <c r="AC14" s="191"/>
      <c r="AD14" s="2196"/>
      <c r="AE14" s="2186"/>
      <c r="AF14" s="38"/>
      <c r="AG14" s="626"/>
      <c r="BL14" s="54"/>
      <c r="BM14" s="54"/>
      <c r="BN14" s="54"/>
      <c r="BO14" s="54"/>
      <c r="BP14" s="54"/>
      <c r="BQ14" s="54"/>
      <c r="BR14" s="54"/>
      <c r="BS14" s="54"/>
    </row>
    <row r="15" spans="1:16384" s="47" customFormat="1" ht="15" customHeight="1" x14ac:dyDescent="0.3">
      <c r="A15" s="91"/>
      <c r="B15" s="91">
        <f>Admin!J7</f>
        <v>5</v>
      </c>
      <c r="C15" s="413" t="str">
        <f>IF(AND($B$15&lt;=C7,$B$15&lt;D7),"↓","")</f>
        <v/>
      </c>
      <c r="D15" s="414" t="str">
        <f t="shared" ref="D15:K15" si="4">IF(AND($B$15&gt;=D7,$B$15&lt;E7),"↓","")</f>
        <v/>
      </c>
      <c r="E15" s="414" t="str">
        <f t="shared" si="4"/>
        <v/>
      </c>
      <c r="F15" s="414" t="str">
        <f t="shared" si="4"/>
        <v/>
      </c>
      <c r="G15" s="414" t="str">
        <f t="shared" si="4"/>
        <v/>
      </c>
      <c r="H15" s="414" t="str">
        <f t="shared" si="4"/>
        <v/>
      </c>
      <c r="I15" s="414" t="str">
        <f t="shared" si="4"/>
        <v/>
      </c>
      <c r="J15" s="414" t="str">
        <f t="shared" si="4"/>
        <v/>
      </c>
      <c r="K15" s="414" t="str">
        <f t="shared" si="4"/>
        <v/>
      </c>
      <c r="L15" s="414" t="str">
        <f>IF(AND($B$15&gt;=L7,$B$15&lt;=N7),"↓","")</f>
        <v>↓</v>
      </c>
      <c r="M15" s="65"/>
      <c r="N15" s="45"/>
      <c r="O15" s="45"/>
      <c r="P15" s="4"/>
      <c r="Q15" s="168"/>
      <c r="R15" s="168"/>
      <c r="S15" s="168"/>
      <c r="T15" s="169"/>
      <c r="U15" s="172"/>
      <c r="V15" s="2199"/>
      <c r="W15" s="2197"/>
      <c r="X15" s="2197"/>
      <c r="Y15" s="2197"/>
      <c r="Z15" s="2197"/>
      <c r="AA15" s="2197"/>
      <c r="AB15" s="2198"/>
      <c r="AC15" s="191"/>
      <c r="AD15" s="2196"/>
      <c r="AE15" s="2186"/>
      <c r="AF15" s="38"/>
      <c r="AG15" s="626"/>
      <c r="BL15" s="54"/>
      <c r="BM15" s="54"/>
      <c r="BN15" s="54"/>
      <c r="BO15" s="54"/>
      <c r="BP15" s="54"/>
      <c r="BQ15" s="54"/>
      <c r="BR15" s="54"/>
      <c r="BS15" s="54"/>
    </row>
    <row r="16" spans="1:16384" s="47" customFormat="1" ht="15" customHeight="1" x14ac:dyDescent="0.3">
      <c r="A16" s="91"/>
      <c r="B16" s="91"/>
      <c r="C16" s="165"/>
      <c r="D16" s="56"/>
      <c r="E16" s="45"/>
      <c r="F16" s="45"/>
      <c r="G16" s="45"/>
      <c r="H16" s="45"/>
      <c r="I16" s="45"/>
      <c r="J16" s="45"/>
      <c r="K16" s="45"/>
      <c r="L16" s="45"/>
      <c r="M16" s="45"/>
      <c r="N16" s="45"/>
      <c r="O16" s="45"/>
      <c r="P16" s="4"/>
      <c r="Q16" s="168"/>
      <c r="R16" s="168"/>
      <c r="S16" s="168"/>
      <c r="T16" s="169"/>
      <c r="U16" s="172"/>
      <c r="V16" s="2199"/>
      <c r="W16" s="2197"/>
      <c r="X16" s="2197"/>
      <c r="Y16" s="2197"/>
      <c r="Z16" s="2197"/>
      <c r="AA16" s="2197"/>
      <c r="AB16" s="2198"/>
      <c r="AC16" s="191"/>
      <c r="AD16" s="124"/>
      <c r="AE16" s="123"/>
      <c r="AF16" s="38"/>
      <c r="AG16" s="626"/>
      <c r="BL16" s="54"/>
      <c r="BM16" s="54"/>
      <c r="BN16" s="54"/>
      <c r="BO16" s="54"/>
      <c r="BP16" s="54"/>
      <c r="BQ16" s="54"/>
      <c r="BR16" s="54"/>
      <c r="BS16" s="54"/>
    </row>
    <row r="17" spans="1:71" ht="15" customHeight="1" x14ac:dyDescent="0.3">
      <c r="A17" s="91"/>
      <c r="B17" s="54"/>
      <c r="C17" s="429" t="s">
        <v>442</v>
      </c>
      <c r="D17" s="170"/>
      <c r="E17" s="170"/>
      <c r="F17" s="170"/>
      <c r="G17" s="170"/>
      <c r="H17" s="170"/>
      <c r="I17" s="170"/>
      <c r="J17" s="170"/>
      <c r="K17" s="170"/>
      <c r="L17" s="170"/>
      <c r="M17" s="45"/>
      <c r="N17" s="2184" t="str">
        <f>'Data Analysis'!F295</f>
        <v>Very Strong</v>
      </c>
      <c r="O17" s="2184"/>
      <c r="P17" s="2184"/>
      <c r="Q17" s="1257"/>
      <c r="R17" s="2172">
        <f>'Data Analysis'!E295</f>
        <v>5</v>
      </c>
      <c r="S17" s="2172"/>
      <c r="T17" s="169"/>
      <c r="U17" s="172"/>
      <c r="V17" s="2199"/>
      <c r="W17" s="2197"/>
      <c r="X17" s="2197"/>
      <c r="Y17" s="2197"/>
      <c r="Z17" s="2197"/>
      <c r="AA17" s="2197"/>
      <c r="AB17" s="2198"/>
      <c r="AC17" s="191"/>
      <c r="AD17" s="124"/>
      <c r="AE17" s="123"/>
      <c r="AF17" s="38"/>
      <c r="AG17" s="626"/>
      <c r="AJ17" s="47"/>
      <c r="AK17" s="47"/>
      <c r="AL17" s="47"/>
      <c r="BL17" s="54"/>
      <c r="BM17" s="54"/>
      <c r="BN17" s="272" t="s">
        <v>222</v>
      </c>
      <c r="BO17" s="272">
        <f>'Data Analysis'!$AB$275</f>
        <v>180</v>
      </c>
      <c r="BP17" s="272"/>
      <c r="BQ17" s="54"/>
      <c r="BR17" s="54"/>
      <c r="BS17" s="54"/>
    </row>
    <row r="18" spans="1:71" s="47" customFormat="1" ht="15" customHeight="1" x14ac:dyDescent="0.3">
      <c r="A18" s="91"/>
      <c r="B18" s="91">
        <f>Admin!J8</f>
        <v>5</v>
      </c>
      <c r="C18" s="410" t="str">
        <f>IF(AND($B$18&lt;=C7,$B$18&lt;D7),"↓","")</f>
        <v/>
      </c>
      <c r="D18" s="89" t="str">
        <f t="shared" ref="D18:K18" si="5">IF(AND($B$18&gt;=D7,$B$18&lt;E7),"↓","")</f>
        <v/>
      </c>
      <c r="E18" s="89" t="str">
        <f t="shared" si="5"/>
        <v/>
      </c>
      <c r="F18" s="89" t="str">
        <f t="shared" si="5"/>
        <v/>
      </c>
      <c r="G18" s="89" t="str">
        <f t="shared" si="5"/>
        <v/>
      </c>
      <c r="H18" s="89" t="str">
        <f t="shared" si="5"/>
        <v/>
      </c>
      <c r="I18" s="89" t="str">
        <f t="shared" si="5"/>
        <v/>
      </c>
      <c r="J18" s="89" t="str">
        <f t="shared" si="5"/>
        <v/>
      </c>
      <c r="K18" s="89" t="str">
        <f t="shared" si="5"/>
        <v/>
      </c>
      <c r="L18" s="89" t="str">
        <f>IF(AND($B$18&gt;=L7,$B$18&lt;=N7),"↓","")</f>
        <v>↓</v>
      </c>
      <c r="M18" s="66"/>
      <c r="N18" s="2184"/>
      <c r="O18" s="2184"/>
      <c r="P18" s="2184"/>
      <c r="Q18" s="1257"/>
      <c r="R18" s="2172"/>
      <c r="S18" s="2172"/>
      <c r="T18" s="169"/>
      <c r="U18" s="172"/>
      <c r="V18" s="2199"/>
      <c r="W18" s="2197"/>
      <c r="X18" s="2197"/>
      <c r="Y18" s="2197"/>
      <c r="Z18" s="2197"/>
      <c r="AA18" s="2197"/>
      <c r="AB18" s="2198"/>
      <c r="AC18" s="172"/>
      <c r="AD18" s="124"/>
      <c r="AE18" s="123"/>
      <c r="AF18" s="38"/>
      <c r="AG18" s="626"/>
      <c r="BL18" s="54"/>
      <c r="BM18" s="54"/>
      <c r="BN18" s="272"/>
      <c r="BO18" s="272"/>
      <c r="BP18" s="272"/>
      <c r="BQ18" s="54"/>
      <c r="BR18" s="54"/>
      <c r="BS18" s="54"/>
    </row>
    <row r="19" spans="1:71" s="47" customFormat="1" ht="15" customHeight="1" x14ac:dyDescent="0.3">
      <c r="A19" s="91"/>
      <c r="B19" s="91"/>
      <c r="C19" s="112"/>
      <c r="D19" s="66"/>
      <c r="E19" s="66"/>
      <c r="F19" s="66"/>
      <c r="G19" s="66"/>
      <c r="H19" s="66"/>
      <c r="I19" s="66"/>
      <c r="J19" s="66"/>
      <c r="K19" s="66"/>
      <c r="L19" s="66"/>
      <c r="M19" s="66"/>
      <c r="N19" s="2184"/>
      <c r="O19" s="2184"/>
      <c r="P19" s="2184"/>
      <c r="Q19" s="1257"/>
      <c r="R19" s="2172"/>
      <c r="S19" s="2172"/>
      <c r="T19" s="169"/>
      <c r="U19" s="172"/>
      <c r="V19" s="2187" t="s">
        <v>302</v>
      </c>
      <c r="W19" s="2188"/>
      <c r="X19" s="2188"/>
      <c r="Y19" s="2188"/>
      <c r="Z19" s="2188"/>
      <c r="AA19" s="2188"/>
      <c r="AB19" s="2189"/>
      <c r="AC19" s="173"/>
      <c r="AD19" s="124"/>
      <c r="AE19" s="123"/>
      <c r="AF19" s="38"/>
      <c r="AG19" s="626"/>
      <c r="BL19" s="54"/>
      <c r="BM19" s="54"/>
      <c r="BN19" s="272"/>
      <c r="BO19" s="272"/>
      <c r="BP19" s="272"/>
      <c r="BQ19" s="54"/>
      <c r="BR19" s="54"/>
      <c r="BS19" s="54"/>
    </row>
    <row r="20" spans="1:71" ht="15" customHeight="1" x14ac:dyDescent="0.35">
      <c r="A20" s="38"/>
      <c r="B20" s="110"/>
      <c r="C20" s="112"/>
      <c r="D20" s="66"/>
      <c r="E20" s="66"/>
      <c r="F20" s="66"/>
      <c r="G20" s="66"/>
      <c r="H20" s="66"/>
      <c r="I20" s="66"/>
      <c r="J20" s="66"/>
      <c r="K20" s="66"/>
      <c r="L20" s="66"/>
      <c r="M20" s="66"/>
      <c r="N20" s="66"/>
      <c r="O20" s="2183"/>
      <c r="P20" s="2183"/>
      <c r="Q20" s="2183"/>
      <c r="R20" s="2183"/>
      <c r="S20" s="168"/>
      <c r="T20" s="169"/>
      <c r="U20" s="172"/>
      <c r="V20" s="111"/>
      <c r="W20" s="267" t="s">
        <v>274</v>
      </c>
      <c r="X20" s="314"/>
      <c r="Y20" s="314"/>
      <c r="Z20" s="315"/>
      <c r="AA20" s="316"/>
      <c r="AB20" s="406">
        <f>Dashboard!O53</f>
        <v>0</v>
      </c>
      <c r="AC20" s="173"/>
      <c r="AD20" s="124"/>
      <c r="AE20" s="2201"/>
      <c r="AF20" s="38"/>
      <c r="AG20" s="626"/>
      <c r="AJ20" s="47"/>
      <c r="AK20" s="47"/>
      <c r="AL20" s="47"/>
      <c r="BL20" s="54"/>
      <c r="BM20" s="54"/>
      <c r="BN20" s="272" t="s">
        <v>10</v>
      </c>
      <c r="BO20" s="272">
        <v>1</v>
      </c>
      <c r="BP20" s="272"/>
      <c r="BQ20" s="54"/>
      <c r="BR20" s="54"/>
      <c r="BS20" s="54"/>
    </row>
    <row r="21" spans="1:71" ht="15" customHeight="1" x14ac:dyDescent="0.35">
      <c r="A21" s="38"/>
      <c r="B21" s="110"/>
      <c r="C21" s="186"/>
      <c r="D21" s="56"/>
      <c r="E21" s="45"/>
      <c r="F21" s="45"/>
      <c r="G21" s="45"/>
      <c r="H21" s="45"/>
      <c r="I21" s="45"/>
      <c r="J21" s="45"/>
      <c r="K21" s="45"/>
      <c r="L21" s="45"/>
      <c r="M21" s="45"/>
      <c r="N21" s="45"/>
      <c r="O21" s="2185"/>
      <c r="P21" s="2185"/>
      <c r="Q21" s="2185"/>
      <c r="R21" s="2185"/>
      <c r="S21" s="168"/>
      <c r="T21" s="169"/>
      <c r="U21" s="172"/>
      <c r="V21" s="246"/>
      <c r="W21" s="267" t="s">
        <v>275</v>
      </c>
      <c r="X21" s="314"/>
      <c r="Y21" s="314"/>
      <c r="Z21" s="315"/>
      <c r="AA21" s="316"/>
      <c r="AB21" s="406">
        <f>Dashboard!O54</f>
        <v>0</v>
      </c>
      <c r="AC21" s="173"/>
      <c r="AD21" s="124"/>
      <c r="AE21" s="2201"/>
      <c r="AF21" s="38"/>
      <c r="AG21" s="626"/>
      <c r="AJ21" s="47"/>
      <c r="AK21" s="47"/>
      <c r="AL21" s="47"/>
      <c r="BL21" s="54"/>
      <c r="BM21" s="54"/>
      <c r="BN21" s="272" t="s">
        <v>11</v>
      </c>
      <c r="BO21" s="272">
        <f>360-BO17-BO20</f>
        <v>179</v>
      </c>
      <c r="BP21" s="272"/>
      <c r="BQ21" s="54"/>
      <c r="BR21" s="54"/>
      <c r="BS21" s="54"/>
    </row>
    <row r="22" spans="1:71" s="47" customFormat="1" ht="15" customHeight="1" x14ac:dyDescent="0.3">
      <c r="A22" s="38"/>
      <c r="B22" s="110"/>
      <c r="C22" s="92"/>
      <c r="D22" s="93"/>
      <c r="E22" s="93"/>
      <c r="F22" s="93"/>
      <c r="G22" s="93"/>
      <c r="H22" s="93"/>
      <c r="I22" s="93"/>
      <c r="J22" s="93"/>
      <c r="K22" s="93"/>
      <c r="L22" s="93"/>
      <c r="M22" s="93"/>
      <c r="N22" s="2179" t="str">
        <f>IF(OR('Data Analysis'!G253=1,'Data Analysis'!G254=1),"WARNING! 
Potential Deal Breaker Triggered","")</f>
        <v/>
      </c>
      <c r="O22" s="2179"/>
      <c r="P22" s="2179"/>
      <c r="Q22" s="2179"/>
      <c r="R22" s="2179"/>
      <c r="S22" s="2179"/>
      <c r="T22" s="2180"/>
      <c r="U22" s="174"/>
      <c r="V22" s="246"/>
      <c r="W22" s="267" t="s">
        <v>472</v>
      </c>
      <c r="X22" s="314"/>
      <c r="Y22" s="314"/>
      <c r="Z22" s="315"/>
      <c r="AA22" s="182"/>
      <c r="AB22" s="1838">
        <f>'Data Analysis'!O267</f>
        <v>0</v>
      </c>
      <c r="AC22" s="174"/>
      <c r="AD22" s="124"/>
      <c r="AE22" s="2201"/>
      <c r="AF22" s="38"/>
      <c r="AG22" s="626"/>
      <c r="BL22" s="54"/>
      <c r="BM22" s="54"/>
      <c r="BN22" s="272"/>
      <c r="BO22" s="272"/>
      <c r="BP22" s="272"/>
      <c r="BQ22" s="54"/>
      <c r="BR22" s="54"/>
      <c r="BS22" s="54"/>
    </row>
    <row r="23" spans="1:71" s="47" customFormat="1" ht="15" customHeight="1" x14ac:dyDescent="0.3">
      <c r="A23" s="38"/>
      <c r="B23" s="110"/>
      <c r="C23" s="92"/>
      <c r="D23" s="93"/>
      <c r="E23" s="93"/>
      <c r="F23" s="93"/>
      <c r="G23" s="93"/>
      <c r="H23" s="93"/>
      <c r="I23" s="93"/>
      <c r="J23" s="93"/>
      <c r="K23" s="93"/>
      <c r="L23" s="93"/>
      <c r="M23" s="93"/>
      <c r="N23" s="2179"/>
      <c r="O23" s="2179"/>
      <c r="P23" s="2179"/>
      <c r="Q23" s="2179"/>
      <c r="R23" s="2179"/>
      <c r="S23" s="2179"/>
      <c r="T23" s="2180"/>
      <c r="U23" s="175"/>
      <c r="V23" s="246"/>
      <c r="W23" s="267" t="s">
        <v>485</v>
      </c>
      <c r="X23" s="314"/>
      <c r="Y23" s="314"/>
      <c r="Z23" s="315"/>
      <c r="AA23" s="182"/>
      <c r="AB23" s="1838">
        <f>'Data Analysis'!O269</f>
        <v>0</v>
      </c>
      <c r="AC23" s="192"/>
      <c r="AD23" s="124"/>
      <c r="AE23" s="2201"/>
      <c r="AF23" s="38"/>
      <c r="AG23" s="626"/>
      <c r="BL23" s="54"/>
      <c r="BM23" s="54"/>
      <c r="BN23" s="272"/>
      <c r="BO23" s="272"/>
      <c r="BP23" s="272"/>
      <c r="BQ23" s="54"/>
      <c r="BR23" s="54"/>
      <c r="BS23" s="54"/>
    </row>
    <row r="24" spans="1:71" ht="15" customHeight="1" thickBot="1" x14ac:dyDescent="0.35">
      <c r="A24" s="38"/>
      <c r="B24" s="110"/>
      <c r="C24" s="113"/>
      <c r="D24" s="114"/>
      <c r="E24" s="114"/>
      <c r="F24" s="114"/>
      <c r="G24" s="114"/>
      <c r="H24" s="114"/>
      <c r="I24" s="114"/>
      <c r="J24" s="114"/>
      <c r="K24" s="114"/>
      <c r="L24" s="114"/>
      <c r="M24" s="114"/>
      <c r="N24" s="2181"/>
      <c r="O24" s="2181"/>
      <c r="P24" s="2181"/>
      <c r="Q24" s="2181"/>
      <c r="R24" s="2181"/>
      <c r="S24" s="2181"/>
      <c r="T24" s="2182"/>
      <c r="U24" s="38"/>
      <c r="V24" s="268"/>
      <c r="W24" s="1842" t="s">
        <v>486</v>
      </c>
      <c r="X24" s="1843"/>
      <c r="Y24" s="1843"/>
      <c r="Z24" s="1844"/>
      <c r="AA24" s="404"/>
      <c r="AB24" s="1845">
        <f>'Data Analysis'!O268</f>
        <v>0</v>
      </c>
      <c r="AC24" s="192"/>
      <c r="AD24" s="124"/>
      <c r="AE24" s="2201"/>
      <c r="AF24" s="38"/>
      <c r="AG24" s="626"/>
      <c r="AH24" s="47"/>
      <c r="AI24" s="47"/>
      <c r="AJ24" s="47"/>
      <c r="AK24" s="47"/>
      <c r="AL24" s="47"/>
      <c r="BL24" s="54"/>
      <c r="BM24" s="54"/>
      <c r="BN24" s="54"/>
      <c r="BO24" s="54"/>
      <c r="BP24" s="54"/>
      <c r="BQ24" s="54"/>
      <c r="BR24" s="54"/>
      <c r="BS24" s="54"/>
    </row>
    <row r="25" spans="1:71" s="47" customFormat="1" ht="15" customHeight="1" x14ac:dyDescent="0.3">
      <c r="A25" s="38"/>
      <c r="B25" s="110"/>
      <c r="C25" s="110"/>
      <c r="D25" s="110"/>
      <c r="E25" s="110"/>
      <c r="F25" s="110"/>
      <c r="G25" s="110"/>
      <c r="H25" s="110"/>
      <c r="I25" s="110"/>
      <c r="J25" s="110"/>
      <c r="K25" s="110"/>
      <c r="L25" s="110"/>
      <c r="M25" s="110"/>
      <c r="N25" s="110"/>
      <c r="O25" s="13"/>
      <c r="P25" s="38"/>
      <c r="Q25" s="38"/>
      <c r="R25" s="38"/>
      <c r="S25" s="38"/>
      <c r="T25" s="38"/>
      <c r="U25" s="38"/>
      <c r="V25" s="192"/>
      <c r="W25" s="192"/>
      <c r="X25" s="192"/>
      <c r="Y25" s="192"/>
      <c r="Z25" s="192"/>
      <c r="AA25" s="192"/>
      <c r="AB25" s="192"/>
      <c r="AC25" s="192"/>
      <c r="AD25" s="124"/>
      <c r="AE25" s="2201"/>
      <c r="AF25" s="38"/>
      <c r="AG25" s="626"/>
      <c r="BL25" s="54"/>
      <c r="BM25" s="54"/>
      <c r="BN25" s="54"/>
      <c r="BO25" s="54"/>
      <c r="BP25" s="54"/>
      <c r="BQ25" s="54"/>
      <c r="BR25" s="54"/>
      <c r="BS25" s="54"/>
    </row>
    <row r="26" spans="1:71" ht="15" hidden="1" customHeight="1" x14ac:dyDescent="0.3">
      <c r="A26" s="38"/>
      <c r="B26" s="38"/>
      <c r="C26" s="59"/>
      <c r="D26" s="36"/>
      <c r="E26" s="36"/>
      <c r="F26" s="36"/>
      <c r="G26" s="36"/>
      <c r="H26" s="36"/>
      <c r="I26" s="36"/>
      <c r="J26" s="36"/>
      <c r="K26" s="36"/>
      <c r="L26" s="36"/>
      <c r="M26" s="36"/>
      <c r="N26" s="36"/>
      <c r="O26" s="36"/>
      <c r="P26" s="36"/>
      <c r="Q26" s="36"/>
      <c r="R26" s="36"/>
      <c r="S26" s="36"/>
      <c r="T26" s="36"/>
      <c r="U26" s="36"/>
      <c r="V26" s="36"/>
      <c r="W26" s="36"/>
      <c r="X26" s="36"/>
      <c r="Y26" s="201"/>
      <c r="Z26" s="36"/>
      <c r="AA26" s="36"/>
      <c r="AB26" s="36"/>
      <c r="AC26" s="38"/>
      <c r="AD26" s="124"/>
      <c r="AE26" s="2201"/>
      <c r="AF26" s="13"/>
      <c r="AG26" s="1"/>
      <c r="AJ26" s="47"/>
      <c r="AK26" s="47"/>
      <c r="AL26" s="47"/>
      <c r="BL26" s="54"/>
      <c r="BM26" s="54"/>
      <c r="BN26" s="54"/>
      <c r="BO26" s="54"/>
      <c r="BP26" s="54"/>
      <c r="BQ26" s="54"/>
      <c r="BR26" s="54"/>
      <c r="BS26" s="54"/>
    </row>
    <row r="27" spans="1:71" ht="15" customHeight="1" x14ac:dyDescent="0.3">
      <c r="A27" s="36"/>
      <c r="B27" s="223"/>
      <c r="C27" s="224"/>
      <c r="D27" s="223"/>
      <c r="E27" s="223"/>
      <c r="F27" s="223"/>
      <c r="G27" s="223"/>
      <c r="H27" s="223"/>
      <c r="I27" s="223"/>
      <c r="J27" s="223"/>
      <c r="K27" s="223"/>
      <c r="L27" s="223"/>
      <c r="M27" s="223"/>
      <c r="N27" s="223"/>
      <c r="O27" s="223"/>
      <c r="P27" s="223"/>
      <c r="Q27" s="223"/>
      <c r="R27" s="223"/>
      <c r="S27" s="223"/>
      <c r="T27" s="223"/>
      <c r="U27" s="223"/>
      <c r="V27" s="223"/>
      <c r="W27" s="223"/>
      <c r="X27" s="223"/>
      <c r="Y27" s="710"/>
      <c r="Z27" s="223"/>
      <c r="AA27" s="223"/>
      <c r="AB27" s="223"/>
      <c r="AC27" s="223"/>
      <c r="AD27" s="223"/>
      <c r="AE27" s="223"/>
      <c r="AF27" s="223"/>
      <c r="AG27" s="1"/>
      <c r="AJ27" s="47"/>
      <c r="AK27" s="47"/>
      <c r="AL27" s="47"/>
      <c r="BL27" s="54"/>
      <c r="BM27" s="54"/>
      <c r="BN27" s="54"/>
      <c r="BO27" s="54"/>
      <c r="BP27" s="54"/>
      <c r="BQ27" s="54"/>
      <c r="BR27" s="54"/>
      <c r="BS27" s="54"/>
    </row>
    <row r="28" spans="1:71" ht="15" customHeight="1" x14ac:dyDescent="0.3">
      <c r="A28" s="36"/>
      <c r="B28" s="561" t="s">
        <v>31</v>
      </c>
      <c r="C28" s="53" t="s">
        <v>91</v>
      </c>
      <c r="D28" s="53"/>
      <c r="E28" s="53"/>
      <c r="F28" s="53"/>
      <c r="G28" s="53"/>
      <c r="H28" s="53"/>
      <c r="I28" s="53"/>
      <c r="J28" s="53"/>
      <c r="K28" s="53"/>
      <c r="L28" s="53"/>
      <c r="M28" s="53"/>
      <c r="N28" s="53"/>
      <c r="O28" s="53"/>
      <c r="P28" s="53"/>
      <c r="Q28" s="53"/>
      <c r="R28" s="53"/>
      <c r="S28" s="53"/>
      <c r="T28" s="53"/>
      <c r="U28" s="53"/>
      <c r="V28" s="53"/>
      <c r="W28" s="53"/>
      <c r="X28" s="53"/>
      <c r="Y28" s="562"/>
      <c r="Z28" s="53"/>
      <c r="AA28" s="2164" t="s">
        <v>32</v>
      </c>
      <c r="AB28" s="2164"/>
      <c r="AC28" s="2167" t="s">
        <v>115</v>
      </c>
      <c r="AD28" s="2167"/>
      <c r="AE28" s="2167"/>
      <c r="AF28" s="2167"/>
      <c r="AG28" s="1"/>
      <c r="AJ28" s="47"/>
      <c r="AK28" s="47"/>
      <c r="AL28" s="47"/>
      <c r="BL28" s="54"/>
      <c r="BM28" s="54"/>
      <c r="BN28" s="54"/>
      <c r="BO28" s="54"/>
      <c r="BP28" s="54"/>
      <c r="BQ28" s="54"/>
      <c r="BR28" s="54"/>
      <c r="BS28" s="54"/>
    </row>
    <row r="29" spans="1:71" s="50" customFormat="1" ht="15" customHeight="1" x14ac:dyDescent="0.3">
      <c r="A29" s="59"/>
      <c r="B29" s="711">
        <v>1</v>
      </c>
      <c r="C29" s="2171" t="s">
        <v>56</v>
      </c>
      <c r="D29" s="2171"/>
      <c r="E29" s="2171"/>
      <c r="F29" s="2171"/>
      <c r="G29" s="2171"/>
      <c r="H29" s="2171"/>
      <c r="I29" s="2171"/>
      <c r="J29" s="2171"/>
      <c r="K29" s="2171"/>
      <c r="L29" s="2171"/>
      <c r="M29" s="2171"/>
      <c r="N29" s="2171"/>
      <c r="O29" s="2171"/>
      <c r="P29" s="2171"/>
      <c r="Q29" s="2171"/>
      <c r="R29" s="2171"/>
      <c r="S29" s="2171"/>
      <c r="T29" s="2171"/>
      <c r="U29" s="2171"/>
      <c r="V29" s="2171"/>
      <c r="W29" s="2171"/>
      <c r="X29" s="2171"/>
      <c r="Y29" s="2171"/>
      <c r="Z29" s="1054"/>
      <c r="AA29" s="2169"/>
      <c r="AB29" s="2169"/>
      <c r="AC29" s="2005"/>
      <c r="AD29" s="2006"/>
      <c r="AE29" s="2006"/>
      <c r="AF29" s="2006"/>
      <c r="AG29" s="623"/>
    </row>
    <row r="30" spans="1:71" s="50" customFormat="1" ht="36" customHeight="1" x14ac:dyDescent="0.3">
      <c r="A30" s="59"/>
      <c r="B30" s="712" t="s">
        <v>63</v>
      </c>
      <c r="C30" s="2170" t="str">
        <f>Questions!H4</f>
        <v>Does the project have high strategic importance for the region and could it enable significant private sector investments in the economic development of the region?</v>
      </c>
      <c r="D30" s="2170"/>
      <c r="E30" s="2170"/>
      <c r="F30" s="2170"/>
      <c r="G30" s="2170"/>
      <c r="H30" s="2170"/>
      <c r="I30" s="2170"/>
      <c r="J30" s="2170"/>
      <c r="K30" s="2170"/>
      <c r="L30" s="2170"/>
      <c r="M30" s="2170"/>
      <c r="N30" s="2170"/>
      <c r="O30" s="2170"/>
      <c r="P30" s="2170"/>
      <c r="Q30" s="2170"/>
      <c r="R30" s="2170"/>
      <c r="S30" s="2170"/>
      <c r="T30" s="2170"/>
      <c r="U30" s="2170"/>
      <c r="V30" s="2170"/>
      <c r="W30" s="2170"/>
      <c r="X30" s="2170"/>
      <c r="Y30" s="2170"/>
      <c r="Z30" s="2170"/>
      <c r="AA30" s="2078" t="s">
        <v>34</v>
      </c>
      <c r="AB30" s="2078"/>
      <c r="AC30" s="2153"/>
      <c r="AD30" s="2153"/>
      <c r="AE30" s="2153"/>
      <c r="AF30" s="2153"/>
      <c r="AG30" s="623"/>
    </row>
    <row r="31" spans="1:71" s="50" customFormat="1" ht="15" customHeight="1" x14ac:dyDescent="0.3">
      <c r="A31" s="59"/>
      <c r="B31" s="712" t="s">
        <v>64</v>
      </c>
      <c r="C31" s="2170" t="str">
        <f>Questions!H5</f>
        <v>Will the project lead to an improvement in the quality of life of the citizens? For example, by way of reduced cost of living or improved liveability for the citizens.</v>
      </c>
      <c r="D31" s="2170"/>
      <c r="E31" s="2170"/>
      <c r="F31" s="2170"/>
      <c r="G31" s="2170"/>
      <c r="H31" s="2170"/>
      <c r="I31" s="2170"/>
      <c r="J31" s="2170"/>
      <c r="K31" s="2170"/>
      <c r="L31" s="2170"/>
      <c r="M31" s="2170"/>
      <c r="N31" s="2170"/>
      <c r="O31" s="2170"/>
      <c r="P31" s="2170"/>
      <c r="Q31" s="2170"/>
      <c r="R31" s="2170"/>
      <c r="S31" s="2170"/>
      <c r="T31" s="2170"/>
      <c r="U31" s="2170"/>
      <c r="V31" s="2170"/>
      <c r="W31" s="2170"/>
      <c r="X31" s="2170"/>
      <c r="Y31" s="2170"/>
      <c r="Z31" s="2170"/>
      <c r="AA31" s="2078" t="s">
        <v>34</v>
      </c>
      <c r="AB31" s="2078"/>
      <c r="AC31" s="2153"/>
      <c r="AD31" s="2153"/>
      <c r="AE31" s="2153"/>
      <c r="AF31" s="2153"/>
      <c r="AG31" s="623"/>
    </row>
    <row r="32" spans="1:71" s="50" customFormat="1" ht="15" hidden="1" customHeight="1" x14ac:dyDescent="0.3">
      <c r="A32" s="59"/>
      <c r="AA32" s="1991"/>
      <c r="AB32" s="1991"/>
      <c r="AC32" s="1991"/>
      <c r="AD32" s="1991"/>
      <c r="AE32" s="1991"/>
      <c r="AF32" s="1991"/>
      <c r="AG32" s="623"/>
      <c r="AH32" s="193"/>
      <c r="AI32" s="193"/>
    </row>
    <row r="33" spans="1:44" s="50" customFormat="1" ht="27.75" customHeight="1" x14ac:dyDescent="0.3">
      <c r="A33" s="59"/>
      <c r="B33" s="712" t="s">
        <v>65</v>
      </c>
      <c r="C33" s="2170">
        <f>IF('Data Analysis'!E249=0,'Data Analysis'!C249,0)</f>
        <v>0</v>
      </c>
      <c r="D33" s="2170"/>
      <c r="E33" s="2170"/>
      <c r="F33" s="2170"/>
      <c r="G33" s="2170"/>
      <c r="H33" s="2170"/>
      <c r="I33" s="2170"/>
      <c r="J33" s="2170"/>
      <c r="K33" s="2170"/>
      <c r="L33" s="2170"/>
      <c r="M33" s="2170"/>
      <c r="N33" s="2170"/>
      <c r="O33" s="2170"/>
      <c r="P33" s="2170"/>
      <c r="Q33" s="2170"/>
      <c r="R33" s="2170"/>
      <c r="S33" s="2170"/>
      <c r="T33" s="2170"/>
      <c r="U33" s="2170"/>
      <c r="V33" s="2170"/>
      <c r="W33" s="2170"/>
      <c r="X33" s="2170"/>
      <c r="Y33" s="2170"/>
      <c r="Z33" s="2170"/>
      <c r="AA33" s="2078" t="s">
        <v>34</v>
      </c>
      <c r="AB33" s="2078"/>
      <c r="AC33" s="2153"/>
      <c r="AD33" s="2153"/>
      <c r="AE33" s="2153"/>
      <c r="AF33" s="2153"/>
      <c r="AG33" s="623"/>
      <c r="AH33" s="193"/>
      <c r="AI33" s="193"/>
    </row>
    <row r="34" spans="1:44" s="50" customFormat="1" ht="15" customHeight="1" x14ac:dyDescent="0.3">
      <c r="A34" s="79"/>
      <c r="B34" s="430"/>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2007"/>
      <c r="AB34" s="2007"/>
      <c r="AC34" s="1991"/>
      <c r="AD34" s="2008"/>
      <c r="AE34" s="2008"/>
      <c r="AF34" s="1991"/>
      <c r="AG34" s="623"/>
      <c r="AH34" s="193"/>
      <c r="AI34" s="193"/>
    </row>
    <row r="35" spans="1:44" s="193" customFormat="1" ht="15" customHeight="1" x14ac:dyDescent="0.3">
      <c r="A35" s="79"/>
      <c r="B35" s="713">
        <v>2</v>
      </c>
      <c r="C35" s="2171" t="s">
        <v>57</v>
      </c>
      <c r="D35" s="2171"/>
      <c r="E35" s="2171"/>
      <c r="F35" s="2171"/>
      <c r="G35" s="2171"/>
      <c r="H35" s="2171"/>
      <c r="I35" s="2171"/>
      <c r="J35" s="2171"/>
      <c r="K35" s="2171"/>
      <c r="L35" s="2171"/>
      <c r="M35" s="2171"/>
      <c r="N35" s="2171"/>
      <c r="O35" s="2171"/>
      <c r="P35" s="2171"/>
      <c r="Q35" s="2171"/>
      <c r="R35" s="2171"/>
      <c r="S35" s="2171"/>
      <c r="T35" s="2171"/>
      <c r="U35" s="2171"/>
      <c r="V35" s="2171"/>
      <c r="W35" s="2171"/>
      <c r="X35" s="2171"/>
      <c r="Y35" s="2171"/>
      <c r="Z35" s="432"/>
      <c r="AA35" s="2169"/>
      <c r="AB35" s="2169"/>
      <c r="AC35" s="2009"/>
      <c r="AD35" s="2009"/>
      <c r="AE35" s="2010"/>
      <c r="AF35" s="2009"/>
      <c r="AG35" s="627"/>
      <c r="AH35" s="50"/>
      <c r="AI35" s="50"/>
    </row>
    <row r="36" spans="1:44" s="50" customFormat="1" ht="15" customHeight="1" x14ac:dyDescent="0.3">
      <c r="A36" s="79"/>
      <c r="B36" s="712" t="s">
        <v>63</v>
      </c>
      <c r="C36" s="2204" t="str">
        <f>Questions!H6</f>
        <v>Is there clear articulation and substantiation of the service deficiency?</v>
      </c>
      <c r="D36" s="2204"/>
      <c r="E36" s="2204"/>
      <c r="F36" s="2204"/>
      <c r="G36" s="2204"/>
      <c r="H36" s="2204"/>
      <c r="I36" s="2204"/>
      <c r="J36" s="2204"/>
      <c r="K36" s="2204"/>
      <c r="L36" s="2204"/>
      <c r="M36" s="2204"/>
      <c r="N36" s="2204"/>
      <c r="O36" s="2204"/>
      <c r="P36" s="2204"/>
      <c r="Q36" s="2204"/>
      <c r="R36" s="2204"/>
      <c r="S36" s="2204"/>
      <c r="T36" s="2204"/>
      <c r="U36" s="2204"/>
      <c r="V36" s="2204"/>
      <c r="W36" s="2204"/>
      <c r="X36" s="2204"/>
      <c r="Y36" s="2204"/>
      <c r="Z36" s="2204"/>
      <c r="AA36" s="2165" t="s">
        <v>34</v>
      </c>
      <c r="AB36" s="2165"/>
      <c r="AC36" s="2153"/>
      <c r="AD36" s="2153"/>
      <c r="AE36" s="2153"/>
      <c r="AF36" s="2153"/>
      <c r="AG36" s="623"/>
    </row>
    <row r="37" spans="1:44" s="50" customFormat="1" ht="15" customHeight="1" x14ac:dyDescent="0.3">
      <c r="A37" s="79"/>
      <c r="B37" s="712" t="s">
        <v>64</v>
      </c>
      <c r="C37" s="2203" t="str">
        <f>Questions!H7</f>
        <v>Is the desired service outcome well defined and can it be used to scope out the project?</v>
      </c>
      <c r="D37" s="2203"/>
      <c r="E37" s="2203"/>
      <c r="F37" s="2203"/>
      <c r="G37" s="2203"/>
      <c r="H37" s="2203"/>
      <c r="I37" s="2203"/>
      <c r="J37" s="2203"/>
      <c r="K37" s="2203"/>
      <c r="L37" s="2203"/>
      <c r="M37" s="2203"/>
      <c r="N37" s="2203"/>
      <c r="O37" s="2203"/>
      <c r="P37" s="2203"/>
      <c r="Q37" s="2203"/>
      <c r="R37" s="2203"/>
      <c r="S37" s="2203"/>
      <c r="T37" s="2203"/>
      <c r="U37" s="2203"/>
      <c r="V37" s="2203"/>
      <c r="W37" s="2203"/>
      <c r="X37" s="2203"/>
      <c r="Y37" s="2203"/>
      <c r="Z37" s="2203"/>
      <c r="AA37" s="2078" t="s">
        <v>34</v>
      </c>
      <c r="AB37" s="2078"/>
      <c r="AC37" s="2153"/>
      <c r="AD37" s="2153"/>
      <c r="AE37" s="2153"/>
      <c r="AF37" s="2153"/>
      <c r="AG37" s="623"/>
      <c r="AH37" s="193"/>
      <c r="AI37" s="193"/>
    </row>
    <row r="38" spans="1:44" s="50" customFormat="1" ht="15" customHeight="1" x14ac:dyDescent="0.3">
      <c r="A38" s="79"/>
      <c r="B38" s="712" t="s">
        <v>65</v>
      </c>
      <c r="C38" s="2203" t="str">
        <f>Questions!H8</f>
        <v>Is there a consensus on users’ and stakeholders’ expectations from the project?</v>
      </c>
      <c r="D38" s="2203"/>
      <c r="E38" s="2203"/>
      <c r="F38" s="2203"/>
      <c r="G38" s="2203"/>
      <c r="H38" s="2203"/>
      <c r="I38" s="2203"/>
      <c r="J38" s="2203"/>
      <c r="K38" s="2203"/>
      <c r="L38" s="2203"/>
      <c r="M38" s="2203"/>
      <c r="N38" s="2203"/>
      <c r="O38" s="2203"/>
      <c r="P38" s="2203"/>
      <c r="Q38" s="2203"/>
      <c r="R38" s="2203"/>
      <c r="S38" s="2203"/>
      <c r="T38" s="2203"/>
      <c r="U38" s="2203"/>
      <c r="V38" s="2203"/>
      <c r="W38" s="2203"/>
      <c r="X38" s="2203"/>
      <c r="Y38" s="2203"/>
      <c r="Z38" s="2203"/>
      <c r="AA38" s="2078" t="s">
        <v>34</v>
      </c>
      <c r="AB38" s="2078"/>
      <c r="AC38" s="2153"/>
      <c r="AD38" s="2153"/>
      <c r="AE38" s="2153"/>
      <c r="AF38" s="2153"/>
      <c r="AG38" s="623"/>
    </row>
    <row r="39" spans="1:44" s="50" customFormat="1" ht="15" customHeight="1" x14ac:dyDescent="0.3">
      <c r="A39" s="79"/>
      <c r="B39" s="430"/>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1"/>
      <c r="AB39" s="431"/>
      <c r="AD39" s="79"/>
      <c r="AE39" s="79"/>
      <c r="AG39" s="623"/>
    </row>
    <row r="40" spans="1:44" s="193" customFormat="1" ht="15" customHeight="1" x14ac:dyDescent="0.3">
      <c r="A40" s="79"/>
      <c r="B40" s="713">
        <v>3</v>
      </c>
      <c r="C40" s="2171" t="s">
        <v>58</v>
      </c>
      <c r="D40" s="2171"/>
      <c r="E40" s="2171"/>
      <c r="F40" s="2171"/>
      <c r="G40" s="2171"/>
      <c r="H40" s="2171"/>
      <c r="I40" s="2171"/>
      <c r="J40" s="2171"/>
      <c r="K40" s="2171"/>
      <c r="L40" s="2171"/>
      <c r="M40" s="2171"/>
      <c r="N40" s="2171"/>
      <c r="O40" s="2171"/>
      <c r="P40" s="2171"/>
      <c r="Q40" s="2171"/>
      <c r="R40" s="2171"/>
      <c r="S40" s="2171"/>
      <c r="T40" s="2171"/>
      <c r="U40" s="2171"/>
      <c r="V40" s="2171"/>
      <c r="W40" s="2171"/>
      <c r="X40" s="2171"/>
      <c r="Y40" s="2171"/>
      <c r="Z40" s="432"/>
      <c r="AA40" s="2202"/>
      <c r="AB40" s="2202"/>
      <c r="AC40" s="2009"/>
      <c r="AD40" s="2009"/>
      <c r="AE40" s="2011"/>
      <c r="AF40" s="2009"/>
      <c r="AG40" s="627"/>
      <c r="AH40" s="50"/>
      <c r="AI40" s="50"/>
      <c r="AQ40" s="50"/>
      <c r="AR40" s="50"/>
    </row>
    <row r="41" spans="1:44" s="50" customFormat="1" ht="15" customHeight="1" x14ac:dyDescent="0.3">
      <c r="A41" s="79"/>
      <c r="B41" s="728" t="s">
        <v>63</v>
      </c>
      <c r="C41" s="2204" t="str">
        <f>Questions!H9</f>
        <v>Has there been an assessment of all possible technical solutions to address the identified need?</v>
      </c>
      <c r="D41" s="2204"/>
      <c r="E41" s="2204"/>
      <c r="F41" s="2204"/>
      <c r="G41" s="2204"/>
      <c r="H41" s="2204"/>
      <c r="I41" s="2204"/>
      <c r="J41" s="2204"/>
      <c r="K41" s="2204"/>
      <c r="L41" s="2204"/>
      <c r="M41" s="2204"/>
      <c r="N41" s="2204"/>
      <c r="O41" s="2204"/>
      <c r="P41" s="2204"/>
      <c r="Q41" s="2204"/>
      <c r="R41" s="2204"/>
      <c r="S41" s="2204"/>
      <c r="T41" s="2204"/>
      <c r="U41" s="2204"/>
      <c r="V41" s="2204"/>
      <c r="W41" s="2204"/>
      <c r="X41" s="2204"/>
      <c r="Y41" s="2204"/>
      <c r="Z41" s="2204"/>
      <c r="AA41" s="2165" t="s">
        <v>34</v>
      </c>
      <c r="AB41" s="2165"/>
      <c r="AC41" s="2153"/>
      <c r="AD41" s="2153"/>
      <c r="AE41" s="2153"/>
      <c r="AF41" s="2153"/>
      <c r="AG41" s="623"/>
    </row>
    <row r="42" spans="1:44" s="50" customFormat="1" ht="15" customHeight="1" x14ac:dyDescent="0.3">
      <c r="A42" s="79"/>
      <c r="B42" s="728" t="s">
        <v>64</v>
      </c>
      <c r="C42" s="2203" t="str">
        <f>Questions!H10</f>
        <v>Does the technical solution clearly address the service need in a cost-effective and affordable manner?</v>
      </c>
      <c r="D42" s="2203"/>
      <c r="E42" s="2203"/>
      <c r="F42" s="2203"/>
      <c r="G42" s="2203"/>
      <c r="H42" s="2203"/>
      <c r="I42" s="2203"/>
      <c r="J42" s="2203"/>
      <c r="K42" s="2203"/>
      <c r="L42" s="2203"/>
      <c r="M42" s="2203"/>
      <c r="N42" s="2203"/>
      <c r="O42" s="2203"/>
      <c r="P42" s="2203"/>
      <c r="Q42" s="2203"/>
      <c r="R42" s="2203"/>
      <c r="S42" s="2203"/>
      <c r="T42" s="2203"/>
      <c r="U42" s="2203"/>
      <c r="V42" s="2203"/>
      <c r="W42" s="2203"/>
      <c r="X42" s="2203"/>
      <c r="Y42" s="2203"/>
      <c r="Z42" s="2203"/>
      <c r="AA42" s="2078" t="s">
        <v>34</v>
      </c>
      <c r="AB42" s="2078"/>
      <c r="AC42" s="2153"/>
      <c r="AD42" s="2153"/>
      <c r="AE42" s="2153"/>
      <c r="AF42" s="2153"/>
      <c r="AG42" s="623"/>
    </row>
    <row r="43" spans="1:44" s="50" customFormat="1" ht="15" customHeight="1" x14ac:dyDescent="0.3">
      <c r="A43" s="79"/>
      <c r="B43" s="430"/>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1"/>
      <c r="AB43" s="431"/>
      <c r="AC43" s="79"/>
      <c r="AD43" s="79"/>
      <c r="AE43" s="79"/>
      <c r="AG43" s="623"/>
    </row>
    <row r="44" spans="1:44" s="193" customFormat="1" ht="15" customHeight="1" x14ac:dyDescent="0.3">
      <c r="A44" s="194"/>
      <c r="B44" s="713">
        <v>4</v>
      </c>
      <c r="C44" s="2171" t="s">
        <v>59</v>
      </c>
      <c r="D44" s="2171"/>
      <c r="E44" s="2171"/>
      <c r="F44" s="2171"/>
      <c r="G44" s="2171"/>
      <c r="H44" s="2171"/>
      <c r="I44" s="2171"/>
      <c r="J44" s="2171"/>
      <c r="K44" s="2171"/>
      <c r="L44" s="2171"/>
      <c r="M44" s="2171"/>
      <c r="N44" s="2171"/>
      <c r="O44" s="2171"/>
      <c r="P44" s="2171"/>
      <c r="Q44" s="2171"/>
      <c r="R44" s="2171"/>
      <c r="S44" s="2171"/>
      <c r="T44" s="2171"/>
      <c r="U44" s="2171"/>
      <c r="V44" s="2171"/>
      <c r="W44" s="2171"/>
      <c r="X44" s="2171"/>
      <c r="Y44" s="2171"/>
      <c r="Z44" s="432"/>
      <c r="AA44" s="2166"/>
      <c r="AB44" s="2166"/>
      <c r="AC44" s="2005"/>
      <c r="AD44" s="2009"/>
      <c r="AE44" s="2010"/>
      <c r="AF44" s="2009"/>
      <c r="AG44" s="627"/>
      <c r="AH44" s="50"/>
      <c r="AI44" s="50"/>
    </row>
    <row r="45" spans="1:44" s="50" customFormat="1" ht="15" customHeight="1" x14ac:dyDescent="0.3">
      <c r="A45" s="59"/>
      <c r="B45" s="712" t="s">
        <v>63</v>
      </c>
      <c r="C45" s="2203" t="str">
        <f>Questions!H11</f>
        <v>Is there a clear description of the technical features of the project?</v>
      </c>
      <c r="D45" s="2203"/>
      <c r="E45" s="2203"/>
      <c r="F45" s="2203"/>
      <c r="G45" s="2203"/>
      <c r="H45" s="2203"/>
      <c r="I45" s="2203"/>
      <c r="J45" s="2203"/>
      <c r="K45" s="2203"/>
      <c r="L45" s="2203"/>
      <c r="M45" s="2203"/>
      <c r="N45" s="2203"/>
      <c r="O45" s="2203"/>
      <c r="P45" s="2203"/>
      <c r="Q45" s="2203"/>
      <c r="R45" s="2203"/>
      <c r="S45" s="2203"/>
      <c r="T45" s="2203"/>
      <c r="U45" s="2203"/>
      <c r="V45" s="2203"/>
      <c r="W45" s="2203"/>
      <c r="X45" s="2203"/>
      <c r="Y45" s="2203"/>
      <c r="Z45" s="2203"/>
      <c r="AA45" s="2078" t="s">
        <v>34</v>
      </c>
      <c r="AB45" s="2078"/>
      <c r="AC45" s="2153"/>
      <c r="AD45" s="2153"/>
      <c r="AE45" s="2153"/>
      <c r="AF45" s="2153"/>
      <c r="AG45" s="623"/>
    </row>
    <row r="46" spans="1:44" s="50" customFormat="1" ht="15" customHeight="1" x14ac:dyDescent="0.3">
      <c r="A46" s="59"/>
      <c r="B46" s="712" t="s">
        <v>64</v>
      </c>
      <c r="C46" s="2203" t="str">
        <f>Questions!H12</f>
        <v>Is the user base identified for the project in terms of users, geography, growth trends, etc.?</v>
      </c>
      <c r="D46" s="2203"/>
      <c r="E46" s="2203"/>
      <c r="F46" s="2203"/>
      <c r="G46" s="2203"/>
      <c r="H46" s="2203"/>
      <c r="I46" s="2203"/>
      <c r="J46" s="2203"/>
      <c r="K46" s="2203"/>
      <c r="L46" s="2203"/>
      <c r="M46" s="2203"/>
      <c r="N46" s="2203"/>
      <c r="O46" s="2203"/>
      <c r="P46" s="2203"/>
      <c r="Q46" s="2203"/>
      <c r="R46" s="2203"/>
      <c r="S46" s="2203"/>
      <c r="T46" s="2203"/>
      <c r="U46" s="2203"/>
      <c r="V46" s="2203"/>
      <c r="W46" s="2203"/>
      <c r="X46" s="2203"/>
      <c r="Y46" s="2203"/>
      <c r="Z46" s="2203"/>
      <c r="AA46" s="2078" t="s">
        <v>34</v>
      </c>
      <c r="AB46" s="2078"/>
      <c r="AC46" s="2153"/>
      <c r="AD46" s="2153"/>
      <c r="AE46" s="2153"/>
      <c r="AF46" s="2153"/>
      <c r="AG46" s="623"/>
      <c r="AH46" s="79"/>
      <c r="AI46" s="79"/>
    </row>
    <row r="47" spans="1:44" s="50" customFormat="1" ht="15" customHeight="1" x14ac:dyDescent="0.3">
      <c r="A47" s="59"/>
      <c r="B47" s="712" t="s">
        <v>65</v>
      </c>
      <c r="C47" s="2203" t="str">
        <f>Questions!H13</f>
        <v>Are the project outputs defined, measurable and verifiable?</v>
      </c>
      <c r="D47" s="2203"/>
      <c r="E47" s="2203"/>
      <c r="F47" s="2203"/>
      <c r="G47" s="2203"/>
      <c r="H47" s="2203"/>
      <c r="I47" s="2203"/>
      <c r="J47" s="2203"/>
      <c r="K47" s="2203"/>
      <c r="L47" s="2203"/>
      <c r="M47" s="2203"/>
      <c r="N47" s="2203"/>
      <c r="O47" s="2203"/>
      <c r="P47" s="2203"/>
      <c r="Q47" s="2203"/>
      <c r="R47" s="2203"/>
      <c r="S47" s="2203"/>
      <c r="T47" s="2203"/>
      <c r="U47" s="2203"/>
      <c r="V47" s="2203"/>
      <c r="W47" s="2203"/>
      <c r="X47" s="2203"/>
      <c r="Y47" s="2203"/>
      <c r="Z47" s="2203"/>
      <c r="AA47" s="2078" t="s">
        <v>34</v>
      </c>
      <c r="AB47" s="2078"/>
      <c r="AC47" s="2153"/>
      <c r="AD47" s="2153"/>
      <c r="AE47" s="2153"/>
      <c r="AF47" s="2153"/>
      <c r="AG47" s="623"/>
      <c r="AH47" s="79"/>
      <c r="AI47" s="79"/>
    </row>
    <row r="48" spans="1:44" s="50" customFormat="1" ht="15" customHeight="1" x14ac:dyDescent="0.3">
      <c r="A48" s="59"/>
      <c r="B48" s="712" t="s">
        <v>66</v>
      </c>
      <c r="C48" s="2203" t="str">
        <f>Questions!H14</f>
        <v>Does the scoping cover the entire term of the project?</v>
      </c>
      <c r="D48" s="2203"/>
      <c r="E48" s="2203"/>
      <c r="F48" s="2203"/>
      <c r="G48" s="2203"/>
      <c r="H48" s="2203"/>
      <c r="I48" s="2203"/>
      <c r="J48" s="2203"/>
      <c r="K48" s="2203"/>
      <c r="L48" s="2203"/>
      <c r="M48" s="2203"/>
      <c r="N48" s="2203"/>
      <c r="O48" s="2203"/>
      <c r="P48" s="2203"/>
      <c r="Q48" s="2203"/>
      <c r="R48" s="2203"/>
      <c r="S48" s="2203"/>
      <c r="T48" s="2203"/>
      <c r="U48" s="2203"/>
      <c r="V48" s="2203"/>
      <c r="W48" s="2203"/>
      <c r="X48" s="2203"/>
      <c r="Y48" s="2203"/>
      <c r="Z48" s="2203"/>
      <c r="AA48" s="2078" t="s">
        <v>34</v>
      </c>
      <c r="AB48" s="2078"/>
      <c r="AC48" s="2153"/>
      <c r="AD48" s="2153"/>
      <c r="AE48" s="2153"/>
      <c r="AF48" s="2153"/>
      <c r="AG48" s="623"/>
      <c r="AH48" s="79"/>
      <c r="AI48" s="79"/>
    </row>
    <row r="49" spans="1:43" s="50" customFormat="1" ht="15" hidden="1" customHeight="1" x14ac:dyDescent="0.3">
      <c r="A49" s="59"/>
      <c r="B49" s="714"/>
      <c r="C49" s="566"/>
      <c r="D49" s="566"/>
      <c r="E49" s="566"/>
      <c r="F49" s="566"/>
      <c r="G49" s="432"/>
      <c r="H49" s="432"/>
      <c r="I49" s="432"/>
      <c r="J49" s="432"/>
      <c r="K49" s="432"/>
      <c r="L49" s="432"/>
      <c r="M49" s="432"/>
      <c r="N49" s="432"/>
      <c r="O49" s="432"/>
      <c r="P49" s="432"/>
      <c r="Q49" s="432"/>
      <c r="R49" s="432"/>
      <c r="S49" s="432"/>
      <c r="T49" s="432"/>
      <c r="U49" s="432"/>
      <c r="V49" s="432"/>
      <c r="W49" s="432"/>
      <c r="X49" s="432"/>
      <c r="Y49" s="564"/>
      <c r="Z49" s="432"/>
      <c r="AA49" s="2168"/>
      <c r="AB49" s="2168"/>
      <c r="AC49" s="2005"/>
      <c r="AD49" s="2006"/>
      <c r="AE49" s="2013"/>
      <c r="AF49" s="2006"/>
      <c r="AG49" s="623"/>
      <c r="AH49" s="79"/>
    </row>
    <row r="50" spans="1:43" s="47" customFormat="1" ht="15" customHeight="1" x14ac:dyDescent="0.3">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634"/>
      <c r="Z50" s="427"/>
      <c r="AA50" s="2012"/>
      <c r="AB50" s="2012"/>
      <c r="AC50" s="1990"/>
      <c r="AD50" s="2000"/>
      <c r="AE50" s="2000"/>
      <c r="AF50" s="2000"/>
      <c r="AG50" s="1"/>
      <c r="AH50" s="13"/>
    </row>
    <row r="51" spans="1:43" ht="15" customHeight="1" x14ac:dyDescent="0.3">
      <c r="AA51" s="2000"/>
      <c r="AB51" s="2000"/>
      <c r="AC51" s="1990"/>
      <c r="AD51" s="2000"/>
      <c r="AE51" s="2000"/>
      <c r="AF51" s="2000"/>
      <c r="AG51" s="1"/>
      <c r="AH51" s="13"/>
    </row>
    <row r="52" spans="1:43" s="47" customFormat="1" ht="7.5" customHeight="1" x14ac:dyDescent="0.3">
      <c r="A52" s="1"/>
      <c r="B52" s="1"/>
      <c r="C52" s="623"/>
      <c r="D52" s="1"/>
      <c r="E52" s="1"/>
      <c r="F52" s="1"/>
      <c r="G52" s="1"/>
      <c r="H52" s="1"/>
      <c r="I52" s="1"/>
      <c r="J52" s="1"/>
      <c r="K52" s="1"/>
      <c r="L52" s="1"/>
      <c r="M52" s="1"/>
      <c r="N52" s="1"/>
      <c r="O52" s="1"/>
      <c r="P52" s="1"/>
      <c r="Q52" s="1"/>
      <c r="R52" s="1"/>
      <c r="S52" s="1"/>
      <c r="T52" s="1"/>
      <c r="U52" s="1"/>
      <c r="V52" s="1"/>
      <c r="W52" s="1"/>
      <c r="X52" s="1"/>
      <c r="Y52" s="624"/>
      <c r="Z52" s="1"/>
      <c r="AA52" s="1"/>
      <c r="AB52" s="1"/>
      <c r="AC52" s="625"/>
      <c r="AD52" s="1"/>
      <c r="AE52" s="1"/>
      <c r="AF52" s="1"/>
      <c r="AG52" s="1"/>
      <c r="AH52" s="13"/>
    </row>
    <row r="53" spans="1:43" x14ac:dyDescent="0.3">
      <c r="AH53" s="13"/>
    </row>
    <row r="54" spans="1:43" x14ac:dyDescent="0.3">
      <c r="AH54" s="13"/>
    </row>
    <row r="55" spans="1:43" x14ac:dyDescent="0.3">
      <c r="AH55" s="13"/>
    </row>
    <row r="56" spans="1:43" x14ac:dyDescent="0.3">
      <c r="AH56" s="13"/>
      <c r="AQ56" s="12">
        <v>62</v>
      </c>
    </row>
    <row r="57" spans="1:43" x14ac:dyDescent="0.3">
      <c r="AH57" s="13"/>
    </row>
    <row r="58" spans="1:43" x14ac:dyDescent="0.3">
      <c r="AH58" s="13"/>
    </row>
    <row r="75" spans="38:39" x14ac:dyDescent="0.3">
      <c r="AL75" s="26"/>
      <c r="AM75" s="26"/>
    </row>
    <row r="76" spans="38:39" ht="25.5" customHeight="1" x14ac:dyDescent="0.3">
      <c r="AL76" s="2162" t="s">
        <v>443</v>
      </c>
      <c r="AM76" s="2162"/>
    </row>
    <row r="77" spans="38:39" ht="15" thickBot="1" x14ac:dyDescent="0.35">
      <c r="AL77" s="1004"/>
      <c r="AM77" s="1005"/>
    </row>
    <row r="78" spans="38:39" ht="14.55" customHeight="1" x14ac:dyDescent="0.3">
      <c r="AL78" s="2147" t="s">
        <v>56</v>
      </c>
      <c r="AM78" s="2163"/>
    </row>
    <row r="79" spans="38:39" ht="15" customHeight="1" x14ac:dyDescent="0.3">
      <c r="AL79" s="2158" t="s">
        <v>880</v>
      </c>
      <c r="AM79" s="2159"/>
    </row>
    <row r="80" spans="38:39" ht="15" customHeight="1" x14ac:dyDescent="0.3">
      <c r="AL80" s="2158"/>
      <c r="AM80" s="2159"/>
    </row>
    <row r="81" spans="3:39" ht="15" customHeight="1" x14ac:dyDescent="0.3">
      <c r="AL81" s="2158"/>
      <c r="AM81" s="2159"/>
    </row>
    <row r="82" spans="3:39" ht="15" customHeight="1" x14ac:dyDescent="0.3">
      <c r="AL82" s="2158"/>
      <c r="AM82" s="2159"/>
    </row>
    <row r="83" spans="3:39" ht="15" customHeight="1" x14ac:dyDescent="0.3">
      <c r="AL83" s="2158"/>
      <c r="AM83" s="2159"/>
    </row>
    <row r="84" spans="3:39" ht="15" customHeight="1" x14ac:dyDescent="0.3">
      <c r="AL84" s="2158"/>
      <c r="AM84" s="2159"/>
    </row>
    <row r="85" spans="3:39" ht="15" customHeight="1" x14ac:dyDescent="0.3">
      <c r="AL85" s="2158"/>
      <c r="AM85" s="2159"/>
    </row>
    <row r="86" spans="3:39" ht="15" customHeight="1" x14ac:dyDescent="0.3">
      <c r="AL86" s="2158"/>
      <c r="AM86" s="2159"/>
    </row>
    <row r="87" spans="3:39" s="47" customFormat="1" ht="15" customHeight="1" x14ac:dyDescent="0.3">
      <c r="C87" s="50"/>
      <c r="Y87" s="200"/>
      <c r="AL87" s="2158"/>
      <c r="AM87" s="2159"/>
    </row>
    <row r="88" spans="3:39" s="47" customFormat="1" ht="15" customHeight="1" x14ac:dyDescent="0.3">
      <c r="C88" s="50"/>
      <c r="Y88" s="200"/>
      <c r="AL88" s="2158"/>
      <c r="AM88" s="2159"/>
    </row>
    <row r="89" spans="3:39" s="47" customFormat="1" ht="15" customHeight="1" x14ac:dyDescent="0.3">
      <c r="C89" s="50"/>
      <c r="Y89" s="200"/>
      <c r="AL89" s="2158"/>
      <c r="AM89" s="2159"/>
    </row>
    <row r="90" spans="3:39" s="47" customFormat="1" ht="15" customHeight="1" x14ac:dyDescent="0.3">
      <c r="C90" s="50"/>
      <c r="Y90" s="200"/>
      <c r="AL90" s="2158"/>
      <c r="AM90" s="2159"/>
    </row>
    <row r="91" spans="3:39" ht="28.5" customHeight="1" thickBot="1" x14ac:dyDescent="0.35">
      <c r="AL91" s="2160"/>
      <c r="AM91" s="2161"/>
    </row>
    <row r="92" spans="3:39" ht="15" customHeight="1" x14ac:dyDescent="0.3">
      <c r="AL92" s="2147" t="s">
        <v>57</v>
      </c>
      <c r="AM92" s="2148"/>
    </row>
    <row r="93" spans="3:39" ht="15" customHeight="1" x14ac:dyDescent="0.3">
      <c r="AL93" s="2158" t="s">
        <v>881</v>
      </c>
      <c r="AM93" s="2159"/>
    </row>
    <row r="94" spans="3:39" ht="15" customHeight="1" x14ac:dyDescent="0.3">
      <c r="AL94" s="2158"/>
      <c r="AM94" s="2159"/>
    </row>
    <row r="95" spans="3:39" ht="15" customHeight="1" x14ac:dyDescent="0.3">
      <c r="AL95" s="2158"/>
      <c r="AM95" s="2159"/>
    </row>
    <row r="96" spans="3:39" ht="15" customHeight="1" x14ac:dyDescent="0.3">
      <c r="AL96" s="2158"/>
      <c r="AM96" s="2159"/>
    </row>
    <row r="97" spans="38:39" ht="15" customHeight="1" x14ac:dyDescent="0.3">
      <c r="AL97" s="2158"/>
      <c r="AM97" s="2159"/>
    </row>
    <row r="98" spans="38:39" ht="15" customHeight="1" x14ac:dyDescent="0.3">
      <c r="AL98" s="2158"/>
      <c r="AM98" s="2159"/>
    </row>
    <row r="99" spans="38:39" ht="15" customHeight="1" x14ac:dyDescent="0.3">
      <c r="AL99" s="2158"/>
      <c r="AM99" s="2159"/>
    </row>
    <row r="100" spans="38:39" ht="15" customHeight="1" x14ac:dyDescent="0.3">
      <c r="AL100" s="2158"/>
      <c r="AM100" s="2159"/>
    </row>
    <row r="101" spans="38:39" ht="15" customHeight="1" x14ac:dyDescent="0.3">
      <c r="AL101" s="2158"/>
      <c r="AM101" s="2159"/>
    </row>
    <row r="102" spans="38:39" ht="15" customHeight="1" x14ac:dyDescent="0.3">
      <c r="AL102" s="2158"/>
      <c r="AM102" s="2159"/>
    </row>
    <row r="103" spans="38:39" ht="15" customHeight="1" x14ac:dyDescent="0.3">
      <c r="AL103" s="2158"/>
      <c r="AM103" s="2159"/>
    </row>
    <row r="104" spans="38:39" ht="15" customHeight="1" x14ac:dyDescent="0.3">
      <c r="AL104" s="2158"/>
      <c r="AM104" s="2159"/>
    </row>
    <row r="105" spans="38:39" ht="45" customHeight="1" thickBot="1" x14ac:dyDescent="0.35">
      <c r="AL105" s="2160"/>
      <c r="AM105" s="2161"/>
    </row>
    <row r="106" spans="38:39" ht="15" customHeight="1" x14ac:dyDescent="0.3">
      <c r="AL106" s="2147" t="s">
        <v>58</v>
      </c>
      <c r="AM106" s="2148"/>
    </row>
    <row r="107" spans="38:39" ht="15" customHeight="1" x14ac:dyDescent="0.3">
      <c r="AL107" s="2149" t="s">
        <v>882</v>
      </c>
      <c r="AM107" s="2150"/>
    </row>
    <row r="108" spans="38:39" ht="15" customHeight="1" x14ac:dyDescent="0.3">
      <c r="AL108" s="2149"/>
      <c r="AM108" s="2150"/>
    </row>
    <row r="109" spans="38:39" ht="15" customHeight="1" x14ac:dyDescent="0.3">
      <c r="AL109" s="2149"/>
      <c r="AM109" s="2150"/>
    </row>
    <row r="110" spans="38:39" ht="15" customHeight="1" x14ac:dyDescent="0.3">
      <c r="AL110" s="2149"/>
      <c r="AM110" s="2150"/>
    </row>
    <row r="111" spans="38:39" ht="15" customHeight="1" x14ac:dyDescent="0.3">
      <c r="AL111" s="2149"/>
      <c r="AM111" s="2150"/>
    </row>
    <row r="112" spans="38:39" x14ac:dyDescent="0.3">
      <c r="AL112" s="2149"/>
      <c r="AM112" s="2150"/>
    </row>
    <row r="113" spans="38:39" ht="15" customHeight="1" x14ac:dyDescent="0.3">
      <c r="AL113" s="2149"/>
      <c r="AM113" s="2150"/>
    </row>
    <row r="114" spans="38:39" ht="5.25" customHeight="1" x14ac:dyDescent="0.3">
      <c r="AL114" s="2149"/>
      <c r="AM114" s="2150"/>
    </row>
    <row r="115" spans="38:39" ht="4.5" customHeight="1" thickBot="1" x14ac:dyDescent="0.35">
      <c r="AL115" s="2151"/>
      <c r="AM115" s="2152"/>
    </row>
    <row r="116" spans="38:39" ht="15" customHeight="1" x14ac:dyDescent="0.3">
      <c r="AL116" s="2147" t="s">
        <v>59</v>
      </c>
      <c r="AM116" s="2148"/>
    </row>
    <row r="117" spans="38:39" ht="15" customHeight="1" x14ac:dyDescent="0.3">
      <c r="AL117" s="2154" t="s">
        <v>883</v>
      </c>
      <c r="AM117" s="2155"/>
    </row>
    <row r="118" spans="38:39" ht="15" customHeight="1" x14ac:dyDescent="0.3">
      <c r="AL118" s="2154"/>
      <c r="AM118" s="2155"/>
    </row>
    <row r="119" spans="38:39" ht="41.25" customHeight="1" thickBot="1" x14ac:dyDescent="0.35">
      <c r="AL119" s="2156"/>
      <c r="AM119" s="2157"/>
    </row>
    <row r="120" spans="38:39" ht="15" customHeight="1" x14ac:dyDescent="0.3"/>
  </sheetData>
  <mergeCells count="77">
    <mergeCell ref="AE20:AE26"/>
    <mergeCell ref="AA40:AB40"/>
    <mergeCell ref="C48:Z48"/>
    <mergeCell ref="C38:Z38"/>
    <mergeCell ref="C30:Z30"/>
    <mergeCell ref="C31:Z31"/>
    <mergeCell ref="C36:Z36"/>
    <mergeCell ref="C35:Y35"/>
    <mergeCell ref="C40:Y40"/>
    <mergeCell ref="C37:Z37"/>
    <mergeCell ref="C41:Z41"/>
    <mergeCell ref="C42:Z42"/>
    <mergeCell ref="C45:Z45"/>
    <mergeCell ref="C46:Z46"/>
    <mergeCell ref="C44:Y44"/>
    <mergeCell ref="C47:Z47"/>
    <mergeCell ref="AE4:AE6"/>
    <mergeCell ref="AE7:AE9"/>
    <mergeCell ref="AE10:AE12"/>
    <mergeCell ref="V19:AB19"/>
    <mergeCell ref="V13:AB13"/>
    <mergeCell ref="V5:AB5"/>
    <mergeCell ref="AE13:AE15"/>
    <mergeCell ref="AD4:AD15"/>
    <mergeCell ref="W14:AB18"/>
    <mergeCell ref="V14:V18"/>
    <mergeCell ref="V6:V12"/>
    <mergeCell ref="W6:AB12"/>
    <mergeCell ref="R17:S19"/>
    <mergeCell ref="C4:T4"/>
    <mergeCell ref="C5:L5"/>
    <mergeCell ref="N5:T5"/>
    <mergeCell ref="N22:T24"/>
    <mergeCell ref="O20:R20"/>
    <mergeCell ref="N17:P19"/>
    <mergeCell ref="O21:R21"/>
    <mergeCell ref="C33:Z33"/>
    <mergeCell ref="AA33:AB33"/>
    <mergeCell ref="C29:Y29"/>
    <mergeCell ref="AA31:AB31"/>
    <mergeCell ref="AA29:AB29"/>
    <mergeCell ref="AA49:AB49"/>
    <mergeCell ref="AA38:AB38"/>
    <mergeCell ref="AA35:AB35"/>
    <mergeCell ref="AA36:AB36"/>
    <mergeCell ref="AA37:AB37"/>
    <mergeCell ref="AA47:AB47"/>
    <mergeCell ref="AA48:AB48"/>
    <mergeCell ref="AA46:AB46"/>
    <mergeCell ref="AC28:AF28"/>
    <mergeCell ref="AC41:AF41"/>
    <mergeCell ref="AC42:AF42"/>
    <mergeCell ref="AC45:AF45"/>
    <mergeCell ref="AC30:AF30"/>
    <mergeCell ref="AC31:AF31"/>
    <mergeCell ref="AC36:AF36"/>
    <mergeCell ref="AC37:AF37"/>
    <mergeCell ref="AC38:AF38"/>
    <mergeCell ref="AA28:AB28"/>
    <mergeCell ref="AA41:AB41"/>
    <mergeCell ref="AA42:AB42"/>
    <mergeCell ref="AA44:AB44"/>
    <mergeCell ref="AA45:AB45"/>
    <mergeCell ref="AA30:AB30"/>
    <mergeCell ref="AL106:AM106"/>
    <mergeCell ref="AL116:AM116"/>
    <mergeCell ref="AL107:AM115"/>
    <mergeCell ref="AC33:AF33"/>
    <mergeCell ref="AL117:AM119"/>
    <mergeCell ref="AL93:AM105"/>
    <mergeCell ref="AC46:AF46"/>
    <mergeCell ref="AL76:AM76"/>
    <mergeCell ref="AL78:AM78"/>
    <mergeCell ref="AL79:AM91"/>
    <mergeCell ref="AL92:AM92"/>
    <mergeCell ref="AC48:AF48"/>
    <mergeCell ref="AC47:AF47"/>
  </mergeCells>
  <conditionalFormatting sqref="M10:O10 D21">
    <cfRule type="colorScale" priority="197">
      <colorScale>
        <cfvo type="min"/>
        <cfvo type="percentile" val="50"/>
        <cfvo type="max"/>
        <color rgb="FFF8696B"/>
        <color rgb="FFFFEB84"/>
        <color rgb="FF63BE7B"/>
      </colorScale>
    </cfRule>
  </conditionalFormatting>
  <conditionalFormatting sqref="C11">
    <cfRule type="colorScale" priority="5">
      <colorScale>
        <cfvo type="min"/>
        <cfvo type="percentile" val="50"/>
        <cfvo type="max"/>
        <color rgb="FFF8696B"/>
        <color rgb="FFFFEB84"/>
        <color rgb="FF63BE7B"/>
      </colorScale>
    </cfRule>
  </conditionalFormatting>
  <conditionalFormatting sqref="C8 C14 D16 D10:L10">
    <cfRule type="colorScale" priority="6">
      <colorScale>
        <cfvo type="min"/>
        <cfvo type="percentile" val="50"/>
        <cfvo type="max"/>
        <color rgb="FFF8696B"/>
        <color rgb="FFFFEB84"/>
        <color rgb="FF63BE7B"/>
      </colorScale>
    </cfRule>
  </conditionalFormatting>
  <conditionalFormatting sqref="B33">
    <cfRule type="expression" dxfId="593" priority="4">
      <formula>$C$33=0</formula>
    </cfRule>
  </conditionalFormatting>
  <conditionalFormatting sqref="C33:Z33">
    <cfRule type="cellIs" dxfId="592" priority="3" operator="equal">
      <formula>0</formula>
    </cfRule>
  </conditionalFormatting>
  <conditionalFormatting sqref="AA33:AF33">
    <cfRule type="expression" dxfId="591" priority="2">
      <formula>$C$33=0</formula>
    </cfRule>
  </conditionalFormatting>
  <dataValidations count="2">
    <dataValidation type="list" allowBlank="1" showInputMessage="1" showErrorMessage="1" promptTitle="Select Response" sqref="AA45:AB48 AA36:AB38 AA40:AB42 AA30:AB31 AA33:AB33" xr:uid="{00000000-0002-0000-0300-000000000000}">
      <formula1>"Yes,No,Uncertain,N/A,Skip"</formula1>
    </dataValidation>
    <dataValidation allowBlank="1" showInputMessage="1" showErrorMessage="1" promptTitle="Select Response" sqref="AA43:AB43 AA39:AB39 AA34:AB34" xr:uid="{00000000-0002-0000-0300-000001000000}"/>
  </dataValidations>
  <hyperlinks>
    <hyperlink ref="C29" location="Suitability1" display="Alignment with goverrnment priorities" xr:uid="{00000000-0004-0000-0300-000000000000}"/>
    <hyperlink ref="C35" location="Suitability2" display="Identification of service need" xr:uid="{00000000-0004-0000-0300-000001000000}"/>
    <hyperlink ref="C40" location="Suitability3" display="Assessment of service delivery options" xr:uid="{00000000-0004-0000-0300-000002000000}"/>
    <hyperlink ref="C44" location="Suitability4" display="Scoping of the project" xr:uid="{00000000-0004-0000-0300-000003000000}"/>
  </hyperlinks>
  <pageMargins left="0.7" right="0.7" top="0.75" bottom="0.75" header="0.3" footer="0.3"/>
  <pageSetup paperSize="9" scale="1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8" id="{AFFB4FE6-1F7D-42A2-B80A-036EF329D104}">
            <xm:f>Admin!O39=TRUE</xm:f>
            <x14:dxf>
              <font>
                <color rgb="FFC00000"/>
              </font>
            </x14:dxf>
          </x14:cfRule>
          <xm:sqref>E36:F36 L36:Z36</xm:sqref>
        </x14:conditionalFormatting>
        <x14:conditionalFormatting xmlns:xm="http://schemas.microsoft.com/office/excel/2006/main">
          <x14:cfRule type="expression" priority="7" id="{9F01E4D6-DD86-48FE-8D4C-20484C77CED3}">
            <xm:f>Admin!O40=TRUE</xm:f>
            <x14:dxf>
              <font>
                <color rgb="FFC00000"/>
              </font>
            </x14:dxf>
          </x14:cfRule>
          <xm:sqref>E41:F41 L41:Z41</xm:sqref>
        </x14:conditionalFormatting>
        <x14:conditionalFormatting xmlns:xm="http://schemas.microsoft.com/office/excel/2006/main">
          <x14:cfRule type="expression" priority="418" id="{AFFB4FE6-1F7D-42A2-B80A-036EF329D104}">
            <xm:f>Admin!#REF!=TRUE</xm:f>
            <x14:dxf>
              <font>
                <color rgb="FFC00000"/>
              </font>
            </x14:dxf>
          </x14:cfRule>
          <xm:sqref>D36</xm:sqref>
        </x14:conditionalFormatting>
        <x14:conditionalFormatting xmlns:xm="http://schemas.microsoft.com/office/excel/2006/main">
          <x14:cfRule type="expression" priority="420" id="{9F01E4D6-DD86-48FE-8D4C-20484C77CED3}">
            <xm:f>Admin!#REF!=TRUE</xm:f>
            <x14:dxf>
              <font>
                <color rgb="FFC00000"/>
              </font>
            </x14:dxf>
          </x14:cfRule>
          <xm:sqref>D41</xm:sqref>
        </x14:conditionalFormatting>
        <x14:conditionalFormatting xmlns:xm="http://schemas.microsoft.com/office/excel/2006/main">
          <x14:cfRule type="expression" priority="466" id="{AFFB4FE6-1F7D-42A2-B80A-036EF329D104}">
            <xm:f>Admin!M40=TRUE</xm:f>
            <x14:dxf>
              <font>
                <color rgb="FFC00000"/>
              </font>
            </x14:dxf>
          </x14:cfRule>
          <xm:sqref>C36</xm:sqref>
        </x14:conditionalFormatting>
        <x14:conditionalFormatting xmlns:xm="http://schemas.microsoft.com/office/excel/2006/main">
          <x14:cfRule type="expression" priority="467" id="{9F01E4D6-DD86-48FE-8D4C-20484C77CED3}">
            <xm:f>Admin!M41=TRUE</xm:f>
            <x14:dxf>
              <font>
                <color rgb="FFC00000"/>
              </font>
            </x14:dxf>
          </x14:cfRule>
          <xm:sqref>C41</xm:sqref>
        </x14:conditionalFormatting>
        <x14:conditionalFormatting xmlns:xm="http://schemas.microsoft.com/office/excel/2006/main">
          <x14:cfRule type="expression" priority="649" id="{AFFB4FE6-1F7D-42A2-B80A-036EF329D104}">
            <xm:f>Admin!#REF!=TRUE</xm:f>
            <x14:dxf>
              <font>
                <color rgb="FFC00000"/>
              </font>
            </x14:dxf>
          </x14:cfRule>
          <xm:sqref>G36:K36</xm:sqref>
        </x14:conditionalFormatting>
        <x14:conditionalFormatting xmlns:xm="http://schemas.microsoft.com/office/excel/2006/main">
          <x14:cfRule type="expression" priority="651" id="{9F01E4D6-DD86-48FE-8D4C-20484C77CED3}">
            <xm:f>Admin!#REF!=TRUE</xm:f>
            <x14:dxf>
              <font>
                <color rgb="FFC00000"/>
              </font>
            </x14:dxf>
          </x14:cfRule>
          <xm:sqref>G41:K41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pageSetUpPr fitToPage="1"/>
  </sheetPr>
  <dimension ref="A1:BW150"/>
  <sheetViews>
    <sheetView topLeftCell="B1" zoomScale="80" zoomScaleNormal="80" workbookViewId="0">
      <selection activeCell="B1" sqref="B1"/>
    </sheetView>
  </sheetViews>
  <sheetFormatPr defaultColWidth="9.21875" defaultRowHeight="18" x14ac:dyDescent="0.3"/>
  <cols>
    <col min="1" max="1" width="3.44140625" style="427" hidden="1" customWidth="1"/>
    <col min="2" max="2" width="5.44140625" style="1089" customWidth="1"/>
    <col min="3" max="3" width="16.5546875" style="427" hidden="1" customWidth="1"/>
    <col min="4" max="5" width="4" style="427" customWidth="1"/>
    <col min="6" max="13" width="4" style="430" customWidth="1"/>
    <col min="14" max="21" width="9.21875" style="430" customWidth="1"/>
    <col min="22" max="22" width="4.44140625" style="430" customWidth="1"/>
    <col min="23" max="29" width="9.21875" style="430" customWidth="1"/>
    <col min="30" max="30" width="1.44140625" style="430" hidden="1" customWidth="1"/>
    <col min="31" max="31" width="4.44140625" style="430" customWidth="1"/>
    <col min="32" max="32" width="9.21875" style="616" customWidth="1"/>
    <col min="33" max="33" width="53.5546875" style="430" customWidth="1"/>
    <col min="34" max="34" width="3.21875" style="430" customWidth="1"/>
    <col min="35" max="35" width="1.44140625" style="427" customWidth="1"/>
    <col min="36" max="36" width="2.5546875" style="427" customWidth="1"/>
    <col min="37" max="37" width="42.5546875" style="427" customWidth="1"/>
    <col min="38" max="48" width="9.21875" style="427"/>
    <col min="49" max="49" width="29.44140625" style="427" customWidth="1"/>
    <col min="50" max="50" width="144" style="427" customWidth="1"/>
    <col min="51" max="52" width="9.21875" style="427"/>
    <col min="53" max="53" width="9.21875" style="581"/>
    <col min="54" max="54" width="9.21875" style="581" customWidth="1"/>
    <col min="55" max="55" width="9.21875" style="581"/>
    <col min="56" max="16384" width="9.21875" style="427"/>
  </cols>
  <sheetData>
    <row r="1" spans="1:75" ht="29.4" thickTop="1" x14ac:dyDescent="0.3">
      <c r="A1" s="576"/>
      <c r="B1" s="1083"/>
      <c r="C1" s="577"/>
      <c r="D1" s="578" t="s">
        <v>462</v>
      </c>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632"/>
      <c r="AE1" s="632"/>
      <c r="AF1" s="632"/>
      <c r="AG1" s="632"/>
      <c r="AH1" s="632"/>
      <c r="AI1" s="632"/>
      <c r="AJ1" s="580"/>
      <c r="AK1" s="580"/>
      <c r="BB1" s="581" t="str">
        <f>IF(OR('Data Analysis'!F304=0,'Data Analysis'!F307=0),D33,"")</f>
        <v/>
      </c>
    </row>
    <row r="2" spans="1:75" s="430" customFormat="1" ht="14.25" hidden="1" customHeight="1" x14ac:dyDescent="0.3">
      <c r="A2" s="579"/>
      <c r="B2" s="1084"/>
      <c r="C2" s="579"/>
      <c r="D2" s="579"/>
      <c r="E2" s="579"/>
      <c r="F2" s="580"/>
      <c r="G2" s="580"/>
      <c r="H2" s="580"/>
      <c r="I2" s="580"/>
      <c r="J2" s="580"/>
      <c r="K2" s="580"/>
      <c r="L2" s="580"/>
      <c r="M2" s="580"/>
      <c r="N2" s="580"/>
      <c r="O2" s="580"/>
      <c r="P2" s="580"/>
      <c r="Q2" s="580"/>
      <c r="R2" s="580"/>
      <c r="S2" s="580"/>
      <c r="T2" s="580"/>
      <c r="U2" s="580"/>
      <c r="V2" s="580"/>
      <c r="W2" s="580"/>
      <c r="X2" s="580"/>
      <c r="Y2" s="580"/>
      <c r="Z2" s="580"/>
      <c r="AA2" s="580"/>
      <c r="AB2" s="580"/>
      <c r="AC2" s="580"/>
      <c r="AD2" s="579"/>
      <c r="AE2" s="579"/>
      <c r="AF2" s="579"/>
      <c r="AG2" s="580"/>
      <c r="AH2" s="580"/>
      <c r="AI2" s="630"/>
      <c r="BA2" s="582"/>
      <c r="BB2" s="581"/>
      <c r="BC2" s="582"/>
    </row>
    <row r="3" spans="1:75" ht="15" customHeight="1" thickBot="1" x14ac:dyDescent="0.35">
      <c r="A3" s="579"/>
      <c r="B3" s="1084"/>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630"/>
    </row>
    <row r="4" spans="1:75" ht="15" customHeight="1" x14ac:dyDescent="0.3">
      <c r="A4" s="579"/>
      <c r="B4" s="1084"/>
      <c r="C4" s="1363" t="s">
        <v>242</v>
      </c>
      <c r="D4" s="2235" t="s">
        <v>272</v>
      </c>
      <c r="E4" s="2236"/>
      <c r="F4" s="2236"/>
      <c r="G4" s="2236"/>
      <c r="H4" s="2236"/>
      <c r="I4" s="2236"/>
      <c r="J4" s="2236"/>
      <c r="K4" s="2236"/>
      <c r="L4" s="2236"/>
      <c r="M4" s="2236"/>
      <c r="N4" s="2236"/>
      <c r="O4" s="2236"/>
      <c r="P4" s="2236"/>
      <c r="Q4" s="2236"/>
      <c r="R4" s="2236"/>
      <c r="S4" s="2236"/>
      <c r="T4" s="2236"/>
      <c r="U4" s="2237"/>
      <c r="V4" s="205"/>
      <c r="W4" s="400"/>
      <c r="X4" s="401"/>
      <c r="Y4" s="401"/>
      <c r="Z4" s="401"/>
      <c r="AA4" s="401"/>
      <c r="AB4" s="401"/>
      <c r="AC4" s="402"/>
      <c r="AD4" s="560"/>
      <c r="AE4" s="560"/>
      <c r="AF4" s="2196" t="s">
        <v>67</v>
      </c>
      <c r="AG4" s="2186" t="s">
        <v>810</v>
      </c>
      <c r="AH4" s="579"/>
      <c r="AI4" s="630"/>
      <c r="BB4" s="583"/>
    </row>
    <row r="5" spans="1:75" ht="15" customHeight="1" x14ac:dyDescent="0.3">
      <c r="A5" s="579"/>
      <c r="B5" s="1084"/>
      <c r="C5" s="584"/>
      <c r="D5" s="2242" t="s">
        <v>245</v>
      </c>
      <c r="E5" s="2233"/>
      <c r="F5" s="2233"/>
      <c r="G5" s="2233"/>
      <c r="H5" s="2233"/>
      <c r="I5" s="2233"/>
      <c r="J5" s="2233"/>
      <c r="K5" s="2233"/>
      <c r="L5" s="2233"/>
      <c r="M5" s="2233"/>
      <c r="N5" s="2233" t="s">
        <v>0</v>
      </c>
      <c r="O5" s="2233"/>
      <c r="P5" s="2233"/>
      <c r="Q5" s="2233"/>
      <c r="R5" s="2233"/>
      <c r="S5" s="2233"/>
      <c r="T5" s="2233"/>
      <c r="U5" s="2234"/>
      <c r="V5" s="585"/>
      <c r="W5" s="2193" t="s">
        <v>194</v>
      </c>
      <c r="X5" s="2194"/>
      <c r="Y5" s="2194"/>
      <c r="Z5" s="2194"/>
      <c r="AA5" s="2194"/>
      <c r="AB5" s="2194"/>
      <c r="AC5" s="2195"/>
      <c r="AD5" s="206"/>
      <c r="AE5" s="206"/>
      <c r="AF5" s="2196"/>
      <c r="AG5" s="2186"/>
      <c r="AH5" s="579"/>
      <c r="AI5" s="630"/>
    </row>
    <row r="6" spans="1:75" ht="15" customHeight="1" x14ac:dyDescent="0.3">
      <c r="A6" s="579"/>
      <c r="B6" s="1084"/>
      <c r="C6" s="586"/>
      <c r="D6" s="586"/>
      <c r="E6" s="587"/>
      <c r="F6" s="587"/>
      <c r="G6" s="587"/>
      <c r="H6" s="587"/>
      <c r="I6" s="587"/>
      <c r="J6" s="587"/>
      <c r="K6" s="587"/>
      <c r="L6" s="587"/>
      <c r="M6" s="587"/>
      <c r="N6" s="587"/>
      <c r="O6" s="587"/>
      <c r="P6" s="587"/>
      <c r="Q6" s="587"/>
      <c r="R6" s="432"/>
      <c r="S6" s="432"/>
      <c r="T6" s="432"/>
      <c r="U6" s="558"/>
      <c r="V6" s="579"/>
      <c r="W6" s="2199" t="s">
        <v>41</v>
      </c>
      <c r="X6" s="2197" t="str">
        <f ca="1">Dashboard!P59</f>
        <v xml:space="preserve">The preliminary feasibility analysis indicates the project is extremely likely to be feasible on an overall basis and therefore strongly suitable to be taken forward. 
</v>
      </c>
      <c r="Y6" s="2197"/>
      <c r="Z6" s="2197"/>
      <c r="AA6" s="2197"/>
      <c r="AB6" s="2197"/>
      <c r="AC6" s="2198"/>
      <c r="AD6" s="206"/>
      <c r="AE6" s="206"/>
      <c r="AF6" s="2196"/>
      <c r="AG6" s="2186"/>
      <c r="AH6" s="579"/>
      <c r="AI6" s="630"/>
      <c r="BB6" s="583"/>
    </row>
    <row r="7" spans="1:75" ht="15" customHeight="1" x14ac:dyDescent="0.3">
      <c r="A7" s="579"/>
      <c r="B7" s="1084"/>
      <c r="C7" s="586"/>
      <c r="D7" s="586">
        <v>0</v>
      </c>
      <c r="E7" s="587">
        <f>D7+0.5</f>
        <v>0.5</v>
      </c>
      <c r="F7" s="587">
        <f t="shared" ref="F7:N7" si="0">E7+0.5</f>
        <v>1</v>
      </c>
      <c r="G7" s="587">
        <f t="shared" si="0"/>
        <v>1.5</v>
      </c>
      <c r="H7" s="587">
        <f t="shared" si="0"/>
        <v>2</v>
      </c>
      <c r="I7" s="587">
        <f t="shared" si="0"/>
        <v>2.5</v>
      </c>
      <c r="J7" s="587">
        <f t="shared" si="0"/>
        <v>3</v>
      </c>
      <c r="K7" s="587">
        <f t="shared" si="0"/>
        <v>3.5</v>
      </c>
      <c r="L7" s="587">
        <f t="shared" si="0"/>
        <v>4</v>
      </c>
      <c r="M7" s="587">
        <f t="shared" si="0"/>
        <v>4.5</v>
      </c>
      <c r="N7" s="588">
        <f t="shared" si="0"/>
        <v>5</v>
      </c>
      <c r="O7" s="432"/>
      <c r="P7" s="587"/>
      <c r="Q7" s="587"/>
      <c r="R7" s="432"/>
      <c r="S7" s="432"/>
      <c r="T7" s="432"/>
      <c r="U7" s="558"/>
      <c r="V7" s="579"/>
      <c r="W7" s="2199"/>
      <c r="X7" s="2197"/>
      <c r="Y7" s="2197"/>
      <c r="Z7" s="2197"/>
      <c r="AA7" s="2197"/>
      <c r="AB7" s="2197"/>
      <c r="AC7" s="2198"/>
      <c r="AD7" s="206"/>
      <c r="AE7" s="206"/>
      <c r="AF7" s="2196"/>
      <c r="AG7" s="2243" t="s">
        <v>430</v>
      </c>
      <c r="AH7" s="579"/>
      <c r="AI7" s="630"/>
      <c r="BB7" s="583"/>
    </row>
    <row r="8" spans="1:75" ht="15" customHeight="1" x14ac:dyDescent="0.3">
      <c r="A8" s="579"/>
      <c r="B8" s="1085"/>
      <c r="C8" s="590"/>
      <c r="D8" s="591" t="s">
        <v>304</v>
      </c>
      <c r="E8" s="592"/>
      <c r="F8" s="592"/>
      <c r="G8" s="592"/>
      <c r="H8" s="592"/>
      <c r="I8" s="592"/>
      <c r="J8" s="592"/>
      <c r="K8" s="592"/>
      <c r="L8" s="592"/>
      <c r="M8" s="592"/>
      <c r="N8" s="432"/>
      <c r="O8" s="432"/>
      <c r="P8" s="432"/>
      <c r="Q8" s="432"/>
      <c r="R8" s="432"/>
      <c r="S8" s="432"/>
      <c r="T8" s="432"/>
      <c r="U8" s="558"/>
      <c r="V8" s="579"/>
      <c r="W8" s="2199"/>
      <c r="X8" s="2197"/>
      <c r="Y8" s="2197"/>
      <c r="Z8" s="2197"/>
      <c r="AA8" s="2197"/>
      <c r="AB8" s="2197"/>
      <c r="AC8" s="2198"/>
      <c r="AD8" s="206"/>
      <c r="AE8" s="206"/>
      <c r="AF8" s="2196"/>
      <c r="AG8" s="2243"/>
      <c r="AH8" s="579"/>
      <c r="AI8" s="630"/>
      <c r="BB8" s="582"/>
    </row>
    <row r="9" spans="1:75" ht="15" customHeight="1" x14ac:dyDescent="0.3">
      <c r="A9" s="579" t="s">
        <v>75</v>
      </c>
      <c r="B9" s="1086">
        <f>Admin!J10</f>
        <v>5</v>
      </c>
      <c r="C9" s="590"/>
      <c r="D9" s="591" t="str">
        <f>IF(AND($B$9&gt;=D7,$B$9&lt;E7),"↓","")</f>
        <v/>
      </c>
      <c r="E9" s="592" t="str">
        <f t="shared" ref="E9:L9" si="1">IF(AND($B$9&gt;=E7,$B$9&lt;F7),"↓","")</f>
        <v/>
      </c>
      <c r="F9" s="592" t="str">
        <f t="shared" si="1"/>
        <v/>
      </c>
      <c r="G9" s="592" t="str">
        <f t="shared" si="1"/>
        <v/>
      </c>
      <c r="H9" s="592" t="str">
        <f t="shared" si="1"/>
        <v/>
      </c>
      <c r="I9" s="592" t="str">
        <f t="shared" si="1"/>
        <v/>
      </c>
      <c r="J9" s="592" t="str">
        <f t="shared" si="1"/>
        <v/>
      </c>
      <c r="K9" s="592" t="str">
        <f t="shared" si="1"/>
        <v/>
      </c>
      <c r="L9" s="592" t="str">
        <f t="shared" si="1"/>
        <v/>
      </c>
      <c r="M9" s="592" t="str">
        <f>IF(AND($B$9&gt;=M7,$B$9&lt;=N7),"↓","")</f>
        <v>↓</v>
      </c>
      <c r="N9" s="593"/>
      <c r="O9" s="592"/>
      <c r="P9" s="432"/>
      <c r="Q9" s="432"/>
      <c r="R9" s="432"/>
      <c r="S9" s="432"/>
      <c r="T9" s="432"/>
      <c r="U9" s="558"/>
      <c r="V9" s="579"/>
      <c r="W9" s="2199"/>
      <c r="X9" s="2197"/>
      <c r="Y9" s="2197"/>
      <c r="Z9" s="2197"/>
      <c r="AA9" s="2197"/>
      <c r="AB9" s="2197"/>
      <c r="AC9" s="2198"/>
      <c r="AD9" s="206"/>
      <c r="AE9" s="206"/>
      <c r="AF9" s="2196"/>
      <c r="AG9" s="2243"/>
      <c r="AH9" s="579"/>
      <c r="AI9" s="630"/>
      <c r="BB9" s="581" t="e">
        <f>IF(OR('Data Analysis'!F313=0,'Data Analysis'!#REF!=0),D42,"")</f>
        <v>#REF!</v>
      </c>
    </row>
    <row r="10" spans="1:75" ht="15" customHeight="1" x14ac:dyDescent="0.3">
      <c r="A10" s="594"/>
      <c r="B10" s="1085"/>
      <c r="C10" s="590"/>
      <c r="D10" s="595"/>
      <c r="E10" s="432"/>
      <c r="F10" s="432"/>
      <c r="G10" s="432"/>
      <c r="H10" s="432"/>
      <c r="I10" s="432"/>
      <c r="J10" s="432"/>
      <c r="K10" s="432"/>
      <c r="L10" s="432"/>
      <c r="M10" s="432"/>
      <c r="N10" s="432"/>
      <c r="O10" s="432"/>
      <c r="P10" s="432"/>
      <c r="Q10" s="432"/>
      <c r="R10" s="432"/>
      <c r="S10" s="432"/>
      <c r="T10" s="432"/>
      <c r="U10" s="558"/>
      <c r="V10" s="579"/>
      <c r="W10" s="2199"/>
      <c r="X10" s="2197"/>
      <c r="Y10" s="2197"/>
      <c r="Z10" s="2197"/>
      <c r="AA10" s="2197"/>
      <c r="AB10" s="2197"/>
      <c r="AC10" s="2198"/>
      <c r="AD10" s="206"/>
      <c r="AE10" s="206"/>
      <c r="AF10" s="2196"/>
      <c r="AG10" s="2186" t="s">
        <v>903</v>
      </c>
      <c r="AH10" s="579"/>
      <c r="AI10" s="630"/>
      <c r="BB10" s="583"/>
      <c r="BO10" s="596"/>
      <c r="BP10" s="596"/>
      <c r="BQ10" s="597"/>
      <c r="BR10" s="597"/>
      <c r="BS10" s="597"/>
      <c r="BT10" s="596"/>
      <c r="BU10" s="596"/>
      <c r="BV10" s="596"/>
      <c r="BW10" s="596"/>
    </row>
    <row r="11" spans="1:75" ht="15" customHeight="1" x14ac:dyDescent="0.3">
      <c r="A11" s="594"/>
      <c r="B11" s="1085"/>
      <c r="C11" s="590"/>
      <c r="D11" s="591" t="s">
        <v>571</v>
      </c>
      <c r="E11" s="592"/>
      <c r="F11" s="592"/>
      <c r="G11" s="592"/>
      <c r="H11" s="592"/>
      <c r="I11" s="592"/>
      <c r="J11" s="592"/>
      <c r="K11" s="592"/>
      <c r="L11" s="592"/>
      <c r="M11" s="592"/>
      <c r="N11" s="432"/>
      <c r="O11" s="432"/>
      <c r="P11" s="432"/>
      <c r="Q11" s="432"/>
      <c r="R11" s="432"/>
      <c r="S11" s="432"/>
      <c r="T11" s="432"/>
      <c r="U11" s="558"/>
      <c r="V11" s="579"/>
      <c r="W11" s="2199"/>
      <c r="X11" s="2197"/>
      <c r="Y11" s="2197"/>
      <c r="Z11" s="2197"/>
      <c r="AA11" s="2197"/>
      <c r="AB11" s="2197"/>
      <c r="AC11" s="2198"/>
      <c r="AD11" s="207"/>
      <c r="AE11" s="207"/>
      <c r="AF11" s="2196"/>
      <c r="AG11" s="2186"/>
      <c r="AH11" s="579"/>
      <c r="AI11" s="630"/>
      <c r="BB11" s="583"/>
      <c r="BO11" s="596"/>
      <c r="BP11" s="596"/>
      <c r="BQ11" s="597"/>
      <c r="BR11" s="597"/>
      <c r="BS11" s="597"/>
      <c r="BT11" s="596"/>
      <c r="BU11" s="433" t="s">
        <v>9</v>
      </c>
      <c r="BV11" s="433">
        <f ca="1">'Data Analysis'!AB300</f>
        <v>180</v>
      </c>
      <c r="BW11" s="596"/>
    </row>
    <row r="12" spans="1:75" ht="15" customHeight="1" x14ac:dyDescent="0.3">
      <c r="A12" s="594"/>
      <c r="B12" s="1086">
        <f>Admin!J11</f>
        <v>5</v>
      </c>
      <c r="C12" s="590"/>
      <c r="D12" s="591" t="str">
        <f>IF(AND($B$12&gt;=D7,$B$12&lt;E7),"↓","")</f>
        <v/>
      </c>
      <c r="E12" s="592" t="str">
        <f t="shared" ref="E12:L12" si="2">IF(AND($B$12&gt;=E7,$B$12&lt;F7),"↓","")</f>
        <v/>
      </c>
      <c r="F12" s="592" t="str">
        <f t="shared" si="2"/>
        <v/>
      </c>
      <c r="G12" s="592" t="str">
        <f t="shared" si="2"/>
        <v/>
      </c>
      <c r="H12" s="592" t="str">
        <f t="shared" si="2"/>
        <v/>
      </c>
      <c r="I12" s="592" t="str">
        <f t="shared" si="2"/>
        <v/>
      </c>
      <c r="J12" s="592" t="str">
        <f t="shared" si="2"/>
        <v/>
      </c>
      <c r="K12" s="592" t="str">
        <f t="shared" si="2"/>
        <v/>
      </c>
      <c r="L12" s="592" t="str">
        <f t="shared" si="2"/>
        <v/>
      </c>
      <c r="M12" s="592" t="str">
        <f>IF(AND($B$12&gt;=M7,$B$12&lt;=N7),"↓","")</f>
        <v>↓</v>
      </c>
      <c r="N12" s="432"/>
      <c r="O12" s="432"/>
      <c r="P12" s="432"/>
      <c r="Q12" s="432"/>
      <c r="R12" s="432"/>
      <c r="S12" s="432"/>
      <c r="T12" s="432"/>
      <c r="U12" s="558"/>
      <c r="V12" s="579"/>
      <c r="W12" s="2239" t="s">
        <v>292</v>
      </c>
      <c r="X12" s="2240"/>
      <c r="Y12" s="2240"/>
      <c r="Z12" s="2240"/>
      <c r="AA12" s="2240"/>
      <c r="AB12" s="2240"/>
      <c r="AC12" s="2241"/>
      <c r="AD12" s="206"/>
      <c r="AE12" s="206"/>
      <c r="AF12" s="2196"/>
      <c r="AG12" s="2186"/>
      <c r="AH12" s="579"/>
      <c r="AI12" s="630"/>
      <c r="BB12" s="583"/>
      <c r="BO12" s="596"/>
      <c r="BP12" s="596"/>
      <c r="BS12" s="597"/>
      <c r="BT12" s="596"/>
      <c r="BU12" s="433" t="s">
        <v>10</v>
      </c>
      <c r="BV12" s="433">
        <f>'Data Analysis'!AB301</f>
        <v>1</v>
      </c>
      <c r="BW12" s="596"/>
    </row>
    <row r="13" spans="1:75" ht="15" customHeight="1" x14ac:dyDescent="0.3">
      <c r="A13" s="598"/>
      <c r="B13" s="1085"/>
      <c r="C13" s="590"/>
      <c r="D13" s="591"/>
      <c r="E13" s="592"/>
      <c r="F13" s="592"/>
      <c r="G13" s="592"/>
      <c r="H13" s="592"/>
      <c r="I13" s="592"/>
      <c r="J13" s="592"/>
      <c r="K13" s="592"/>
      <c r="L13" s="592"/>
      <c r="M13" s="592"/>
      <c r="N13" s="432"/>
      <c r="O13" s="432"/>
      <c r="P13" s="432"/>
      <c r="Q13" s="432"/>
      <c r="R13" s="432"/>
      <c r="S13" s="432"/>
      <c r="T13" s="432"/>
      <c r="U13" s="558"/>
      <c r="V13" s="579"/>
      <c r="W13" s="2199" t="s">
        <v>41</v>
      </c>
      <c r="X13" s="2197" t="str">
        <f ca="1">Dashboard!W59</f>
        <v xml:space="preserve">               .</v>
      </c>
      <c r="Y13" s="2197"/>
      <c r="Z13" s="2197"/>
      <c r="AA13" s="2197"/>
      <c r="AB13" s="2197"/>
      <c r="AC13" s="2198"/>
      <c r="AD13" s="206"/>
      <c r="AE13" s="206"/>
      <c r="AF13" s="2196"/>
      <c r="AG13" s="2186" t="s">
        <v>885</v>
      </c>
      <c r="AH13" s="579"/>
      <c r="AI13" s="630"/>
      <c r="BB13" s="582"/>
      <c r="BO13" s="596"/>
      <c r="BP13" s="596"/>
      <c r="BS13" s="597"/>
      <c r="BT13" s="596"/>
      <c r="BU13" s="433" t="s">
        <v>11</v>
      </c>
      <c r="BV13" s="433">
        <f ca="1">'Data Analysis'!AB302</f>
        <v>179</v>
      </c>
      <c r="BW13" s="596"/>
    </row>
    <row r="14" spans="1:75" ht="15" customHeight="1" x14ac:dyDescent="0.3">
      <c r="A14" s="594"/>
      <c r="B14" s="1085"/>
      <c r="C14" s="590"/>
      <c r="D14" s="591" t="s">
        <v>572</v>
      </c>
      <c r="E14" s="592"/>
      <c r="F14" s="592"/>
      <c r="G14" s="592"/>
      <c r="H14" s="592"/>
      <c r="I14" s="592"/>
      <c r="J14" s="592"/>
      <c r="K14" s="592"/>
      <c r="L14" s="592"/>
      <c r="M14" s="592"/>
      <c r="N14" s="432"/>
      <c r="O14" s="432"/>
      <c r="P14" s="432"/>
      <c r="Q14" s="432"/>
      <c r="R14" s="432"/>
      <c r="S14" s="432"/>
      <c r="T14" s="432"/>
      <c r="U14" s="558"/>
      <c r="V14" s="579"/>
      <c r="W14" s="2199"/>
      <c r="X14" s="2197"/>
      <c r="Y14" s="2197"/>
      <c r="Z14" s="2197"/>
      <c r="AA14" s="2197"/>
      <c r="AB14" s="2197"/>
      <c r="AC14" s="2198"/>
      <c r="AD14" s="206"/>
      <c r="AE14" s="206"/>
      <c r="AF14" s="2196"/>
      <c r="AG14" s="2186"/>
      <c r="AH14" s="579"/>
      <c r="AI14" s="630"/>
      <c r="BB14" s="581" t="e">
        <f>IF(OR('Data Analysis'!F322=0,'Data Analysis'!#REF!=0),D50,"")</f>
        <v>#REF!</v>
      </c>
      <c r="BO14" s="596"/>
      <c r="BP14" s="596"/>
      <c r="BS14" s="597"/>
      <c r="BT14" s="596"/>
      <c r="BU14" s="597"/>
      <c r="BV14" s="597"/>
      <c r="BW14" s="596"/>
    </row>
    <row r="15" spans="1:75" ht="15" customHeight="1" x14ac:dyDescent="0.3">
      <c r="A15" s="594"/>
      <c r="B15" s="1126">
        <f>Admin!J12</f>
        <v>5</v>
      </c>
      <c r="C15" s="1127"/>
      <c r="D15" s="1128" t="str">
        <f>IF(AND($B$15&gt;=D7,$B$15&lt;E7),"↓","")</f>
        <v/>
      </c>
      <c r="E15" s="1362" t="str">
        <f t="shared" ref="E15:L15" si="3">IF(AND($B$15&gt;=E7,$B$15&lt;F7),"↓","")</f>
        <v/>
      </c>
      <c r="F15" s="1362" t="str">
        <f t="shared" si="3"/>
        <v/>
      </c>
      <c r="G15" s="1362" t="str">
        <f t="shared" si="3"/>
        <v/>
      </c>
      <c r="H15" s="1362" t="str">
        <f t="shared" si="3"/>
        <v/>
      </c>
      <c r="I15" s="1362" t="str">
        <f t="shared" si="3"/>
        <v/>
      </c>
      <c r="J15" s="1362" t="str">
        <f t="shared" si="3"/>
        <v/>
      </c>
      <c r="K15" s="1362" t="str">
        <f t="shared" si="3"/>
        <v/>
      </c>
      <c r="L15" s="1362" t="str">
        <f t="shared" si="3"/>
        <v/>
      </c>
      <c r="M15" s="1362" t="str">
        <f>IF(AND($B$15&gt;=M7,$B$15&lt;=N7),"↓","")</f>
        <v>↓</v>
      </c>
      <c r="N15" s="432"/>
      <c r="O15" s="432"/>
      <c r="P15" s="432"/>
      <c r="Q15" s="432"/>
      <c r="R15" s="432"/>
      <c r="S15" s="432"/>
      <c r="T15" s="432"/>
      <c r="U15" s="558"/>
      <c r="V15" s="579"/>
      <c r="W15" s="2199"/>
      <c r="X15" s="2197"/>
      <c r="Y15" s="2197"/>
      <c r="Z15" s="2197"/>
      <c r="AA15" s="2197"/>
      <c r="AB15" s="2197"/>
      <c r="AC15" s="2198"/>
      <c r="AD15" s="1361"/>
      <c r="AE15" s="1361"/>
      <c r="AF15" s="2196"/>
      <c r="AG15" s="2186"/>
      <c r="AH15" s="579"/>
      <c r="AI15" s="630"/>
      <c r="BB15" s="583"/>
      <c r="BO15" s="596"/>
      <c r="BP15" s="596"/>
      <c r="BQ15" s="597"/>
      <c r="BR15" s="597"/>
      <c r="BS15" s="597"/>
      <c r="BT15" s="596"/>
      <c r="BU15" s="597"/>
      <c r="BV15" s="597"/>
      <c r="BW15" s="596"/>
    </row>
    <row r="16" spans="1:75" ht="15" customHeight="1" x14ac:dyDescent="0.3">
      <c r="A16" s="598"/>
      <c r="B16" s="1085"/>
      <c r="C16" s="590"/>
      <c r="D16" s="599"/>
      <c r="E16" s="600"/>
      <c r="F16" s="600"/>
      <c r="G16" s="600"/>
      <c r="H16" s="600"/>
      <c r="I16" s="600"/>
      <c r="J16" s="600"/>
      <c r="K16" s="600"/>
      <c r="L16" s="600"/>
      <c r="M16" s="600"/>
      <c r="N16" s="432"/>
      <c r="O16" s="432"/>
      <c r="P16" s="432"/>
      <c r="Q16" s="432"/>
      <c r="R16" s="432"/>
      <c r="S16" s="432"/>
      <c r="T16" s="432"/>
      <c r="U16" s="558"/>
      <c r="V16" s="579"/>
      <c r="W16" s="2199"/>
      <c r="X16" s="2197"/>
      <c r="Y16" s="2197"/>
      <c r="Z16" s="2197"/>
      <c r="AA16" s="2197"/>
      <c r="AB16" s="2197"/>
      <c r="AC16" s="2198"/>
      <c r="AD16" s="1361"/>
      <c r="AE16" s="1361"/>
      <c r="AF16" s="2196"/>
      <c r="AG16" s="2186"/>
      <c r="AH16" s="579"/>
      <c r="AI16" s="630"/>
      <c r="BB16" s="583"/>
      <c r="BO16" s="596"/>
      <c r="BP16" s="596"/>
      <c r="BQ16" s="597"/>
      <c r="BR16" s="597"/>
      <c r="BS16" s="597"/>
      <c r="BT16" s="596"/>
      <c r="BU16" s="596"/>
      <c r="BV16" s="596"/>
      <c r="BW16" s="596"/>
    </row>
    <row r="17" spans="1:75" ht="15" customHeight="1" x14ac:dyDescent="0.3">
      <c r="A17" s="594"/>
      <c r="B17" s="1085"/>
      <c r="C17" s="590"/>
      <c r="D17" s="591" t="s">
        <v>305</v>
      </c>
      <c r="E17" s="592"/>
      <c r="F17" s="592"/>
      <c r="G17" s="592"/>
      <c r="H17" s="592"/>
      <c r="I17" s="592"/>
      <c r="J17" s="592"/>
      <c r="K17" s="592"/>
      <c r="L17" s="592"/>
      <c r="M17" s="592"/>
      <c r="N17" s="432"/>
      <c r="O17" s="432"/>
      <c r="P17" s="432"/>
      <c r="Q17" s="432"/>
      <c r="R17" s="432"/>
      <c r="S17" s="432"/>
      <c r="T17" s="432"/>
      <c r="U17" s="558"/>
      <c r="V17" s="579"/>
      <c r="W17" s="2199"/>
      <c r="X17" s="2197"/>
      <c r="Y17" s="2197"/>
      <c r="Z17" s="2197"/>
      <c r="AA17" s="2197"/>
      <c r="AB17" s="2197"/>
      <c r="AC17" s="2198"/>
      <c r="AD17" s="206"/>
      <c r="AE17" s="206"/>
      <c r="AF17" s="206"/>
      <c r="AG17" s="579"/>
      <c r="AH17" s="579"/>
      <c r="AI17" s="630"/>
      <c r="BB17" s="583"/>
      <c r="BO17" s="596"/>
      <c r="BP17" s="596"/>
      <c r="BQ17" s="597"/>
      <c r="BR17" s="597"/>
      <c r="BS17" s="597"/>
      <c r="BT17" s="596"/>
      <c r="BU17" s="596"/>
      <c r="BV17" s="596"/>
      <c r="BW17" s="596"/>
    </row>
    <row r="18" spans="1:75" ht="15" customHeight="1" x14ac:dyDescent="0.3">
      <c r="A18" s="594"/>
      <c r="B18" s="1126">
        <f>Admin!J13</f>
        <v>5</v>
      </c>
      <c r="C18" s="1127"/>
      <c r="D18" s="1128" t="str">
        <f>IF(AND($B$18&gt;=D7,$B$18&lt;E7),"↓","")</f>
        <v/>
      </c>
      <c r="E18" s="1362" t="str">
        <f t="shared" ref="E18:L18" si="4">IF(AND($B$18&gt;=E7,$B$18&lt;F7),"↓","")</f>
        <v/>
      </c>
      <c r="F18" s="1362" t="str">
        <f t="shared" si="4"/>
        <v/>
      </c>
      <c r="G18" s="1362" t="str">
        <f t="shared" si="4"/>
        <v/>
      </c>
      <c r="H18" s="1362" t="str">
        <f t="shared" si="4"/>
        <v/>
      </c>
      <c r="I18" s="1362" t="str">
        <f t="shared" si="4"/>
        <v/>
      </c>
      <c r="J18" s="1362" t="str">
        <f t="shared" si="4"/>
        <v/>
      </c>
      <c r="K18" s="1362" t="str">
        <f t="shared" si="4"/>
        <v/>
      </c>
      <c r="L18" s="1362" t="str">
        <f t="shared" si="4"/>
        <v/>
      </c>
      <c r="M18" s="1362" t="str">
        <f>IF(AND($B$18&gt;=M7,$B$18&lt;=N7),"↓","")</f>
        <v>↓</v>
      </c>
      <c r="N18" s="432"/>
      <c r="O18" s="432"/>
      <c r="P18" s="432"/>
      <c r="Q18" s="432"/>
      <c r="R18" s="432"/>
      <c r="S18" s="432"/>
      <c r="T18" s="432"/>
      <c r="U18" s="558"/>
      <c r="V18" s="579"/>
      <c r="W18" s="2199"/>
      <c r="X18" s="2197"/>
      <c r="Y18" s="2197"/>
      <c r="Z18" s="2197"/>
      <c r="AA18" s="2197"/>
      <c r="AB18" s="2197"/>
      <c r="AC18" s="2198"/>
      <c r="AD18" s="1361"/>
      <c r="AE18" s="1361"/>
      <c r="AF18" s="1361"/>
      <c r="AG18" s="579"/>
      <c r="AH18" s="579"/>
      <c r="AI18" s="630"/>
      <c r="BB18" s="583"/>
      <c r="BO18" s="596"/>
      <c r="BP18" s="596"/>
      <c r="BQ18" s="596"/>
      <c r="BR18" s="596"/>
      <c r="BS18" s="596"/>
      <c r="BT18" s="596"/>
      <c r="BU18" s="596"/>
      <c r="BV18" s="596"/>
      <c r="BW18" s="596"/>
    </row>
    <row r="19" spans="1:75" ht="15" customHeight="1" x14ac:dyDescent="0.3">
      <c r="A19" s="598"/>
      <c r="B19" s="1085"/>
      <c r="C19" s="590"/>
      <c r="D19" s="591"/>
      <c r="E19" s="592"/>
      <c r="F19" s="592"/>
      <c r="G19" s="592"/>
      <c r="H19" s="592"/>
      <c r="I19" s="592"/>
      <c r="J19" s="592"/>
      <c r="K19" s="592"/>
      <c r="L19" s="592"/>
      <c r="M19" s="592"/>
      <c r="N19" s="432"/>
      <c r="O19" s="2184" t="str">
        <f ca="1">'Data Analysis'!F350</f>
        <v>Very Strong</v>
      </c>
      <c r="P19" s="2184"/>
      <c r="Q19" s="2184"/>
      <c r="R19" s="1258"/>
      <c r="S19" s="2247">
        <f ca="1">'Data Analysis'!E350</f>
        <v>5</v>
      </c>
      <c r="T19" s="2247"/>
      <c r="U19" s="558"/>
      <c r="V19" s="579"/>
      <c r="W19" s="2199"/>
      <c r="X19" s="2197"/>
      <c r="Y19" s="2197"/>
      <c r="Z19" s="2197"/>
      <c r="AA19" s="2197"/>
      <c r="AB19" s="2197"/>
      <c r="AC19" s="2198"/>
      <c r="AD19" s="206"/>
      <c r="AE19" s="206"/>
      <c r="AF19" s="206"/>
      <c r="AG19" s="579"/>
      <c r="AH19" s="579"/>
      <c r="AI19" s="630"/>
      <c r="BB19" s="583"/>
      <c r="BO19" s="596"/>
      <c r="BP19" s="596"/>
      <c r="BQ19" s="596"/>
      <c r="BR19" s="596"/>
      <c r="BS19" s="596"/>
      <c r="BT19" s="596"/>
      <c r="BU19" s="596"/>
      <c r="BV19" s="596"/>
      <c r="BW19" s="596"/>
    </row>
    <row r="20" spans="1:75" ht="15" customHeight="1" x14ac:dyDescent="0.3">
      <c r="A20" s="594"/>
      <c r="B20" s="1085"/>
      <c r="C20" s="590"/>
      <c r="D20" s="591" t="s">
        <v>306</v>
      </c>
      <c r="E20" s="592"/>
      <c r="F20" s="592"/>
      <c r="G20" s="592"/>
      <c r="H20" s="592"/>
      <c r="I20" s="592"/>
      <c r="J20" s="592"/>
      <c r="K20" s="592"/>
      <c r="L20" s="592"/>
      <c r="M20" s="592"/>
      <c r="N20" s="432"/>
      <c r="O20" s="2184"/>
      <c r="P20" s="2184"/>
      <c r="Q20" s="2184"/>
      <c r="R20" s="1258"/>
      <c r="S20" s="2247"/>
      <c r="T20" s="2247"/>
      <c r="U20" s="558"/>
      <c r="V20" s="579"/>
      <c r="W20" s="2199"/>
      <c r="X20" s="2197"/>
      <c r="Y20" s="2197"/>
      <c r="Z20" s="2197"/>
      <c r="AA20" s="2197"/>
      <c r="AB20" s="2197"/>
      <c r="AC20" s="2198"/>
      <c r="AD20" s="206"/>
      <c r="AE20" s="206"/>
      <c r="AF20" s="206"/>
      <c r="AG20" s="579"/>
      <c r="AH20" s="579"/>
      <c r="AI20" s="630"/>
      <c r="BB20" s="583"/>
      <c r="BO20" s="596"/>
      <c r="BP20" s="596"/>
      <c r="BQ20" s="596"/>
      <c r="BR20" s="596"/>
      <c r="BS20" s="596"/>
      <c r="BT20" s="596"/>
      <c r="BU20" s="596"/>
      <c r="BV20" s="596"/>
      <c r="BW20" s="596"/>
    </row>
    <row r="21" spans="1:75" ht="15" customHeight="1" x14ac:dyDescent="0.3">
      <c r="A21" s="594"/>
      <c r="B21" s="1126">
        <f ca="1">Admin!J14</f>
        <v>4.9999999999999991</v>
      </c>
      <c r="C21" s="1127"/>
      <c r="D21" s="1128" t="str">
        <f t="shared" ref="D21:L21" ca="1" si="5">IF(AND($B$21&gt;=D7,$B$21&lt;E7),"↓","")</f>
        <v/>
      </c>
      <c r="E21" s="1362" t="str">
        <f t="shared" ca="1" si="5"/>
        <v/>
      </c>
      <c r="F21" s="1362" t="str">
        <f t="shared" ca="1" si="5"/>
        <v/>
      </c>
      <c r="G21" s="1362" t="str">
        <f t="shared" ca="1" si="5"/>
        <v/>
      </c>
      <c r="H21" s="1362" t="str">
        <f t="shared" ca="1" si="5"/>
        <v/>
      </c>
      <c r="I21" s="1362" t="str">
        <f t="shared" ca="1" si="5"/>
        <v/>
      </c>
      <c r="J21" s="1362" t="str">
        <f t="shared" ca="1" si="5"/>
        <v/>
      </c>
      <c r="K21" s="1362" t="str">
        <f t="shared" ca="1" si="5"/>
        <v/>
      </c>
      <c r="L21" s="1362" t="str">
        <f t="shared" ca="1" si="5"/>
        <v/>
      </c>
      <c r="M21" s="1362" t="str">
        <f ca="1">IF(AND($B$21&gt;=M7,$B$21&lt;=N7),"↓","")</f>
        <v>↓</v>
      </c>
      <c r="N21" s="432"/>
      <c r="O21" s="2184"/>
      <c r="P21" s="2184"/>
      <c r="Q21" s="2184"/>
      <c r="R21" s="1258"/>
      <c r="S21" s="2247"/>
      <c r="T21" s="2247"/>
      <c r="U21" s="558"/>
      <c r="V21" s="579"/>
      <c r="W21" s="2187" t="s">
        <v>302</v>
      </c>
      <c r="X21" s="2188"/>
      <c r="Y21" s="2188"/>
      <c r="Z21" s="2188"/>
      <c r="AA21" s="2188"/>
      <c r="AB21" s="2188"/>
      <c r="AC21" s="2189"/>
      <c r="AD21" s="206"/>
      <c r="AE21" s="206"/>
      <c r="AF21" s="206"/>
      <c r="AG21" s="579"/>
      <c r="AH21" s="579"/>
      <c r="AI21" s="630"/>
      <c r="BB21" s="582"/>
      <c r="BO21" s="596"/>
      <c r="BP21" s="596"/>
      <c r="BQ21" s="596"/>
      <c r="BR21" s="596"/>
      <c r="BS21" s="596"/>
      <c r="BT21" s="596"/>
      <c r="BU21" s="596"/>
      <c r="BV21" s="596"/>
      <c r="BW21" s="596"/>
    </row>
    <row r="22" spans="1:75" ht="15" customHeight="1" x14ac:dyDescent="0.3">
      <c r="A22" s="598"/>
      <c r="B22" s="1085"/>
      <c r="C22" s="590"/>
      <c r="D22" s="591"/>
      <c r="E22" s="592"/>
      <c r="F22" s="592"/>
      <c r="G22" s="592"/>
      <c r="H22" s="592"/>
      <c r="I22" s="592"/>
      <c r="J22" s="592"/>
      <c r="K22" s="592"/>
      <c r="L22" s="592"/>
      <c r="M22" s="592"/>
      <c r="N22" s="432"/>
      <c r="O22" s="2245"/>
      <c r="P22" s="2245"/>
      <c r="Q22" s="2245"/>
      <c r="R22" s="2245"/>
      <c r="S22" s="2245"/>
      <c r="T22" s="432"/>
      <c r="U22" s="558"/>
      <c r="V22" s="579"/>
      <c r="W22" s="586"/>
      <c r="X22" s="601" t="s">
        <v>274</v>
      </c>
      <c r="Y22" s="602"/>
      <c r="Z22" s="602"/>
      <c r="AA22" s="603"/>
      <c r="AB22" s="604"/>
      <c r="AC22" s="605">
        <f ca="1">Dashboard!O60</f>
        <v>0</v>
      </c>
      <c r="AD22" s="206"/>
      <c r="AE22" s="206"/>
      <c r="AF22" s="206"/>
      <c r="AG22" s="579"/>
      <c r="AH22" s="579"/>
      <c r="AI22" s="630"/>
      <c r="BB22" s="583"/>
      <c r="BO22" s="596"/>
      <c r="BP22" s="596"/>
      <c r="BQ22" s="596"/>
      <c r="BR22" s="596"/>
      <c r="BS22" s="596"/>
      <c r="BT22" s="596"/>
      <c r="BU22" s="596"/>
      <c r="BV22" s="596"/>
      <c r="BW22" s="596"/>
    </row>
    <row r="23" spans="1:75" ht="15" customHeight="1" x14ac:dyDescent="0.3">
      <c r="A23" s="594"/>
      <c r="B23" s="1085"/>
      <c r="C23" s="590"/>
      <c r="D23" s="591" t="s">
        <v>307</v>
      </c>
      <c r="E23" s="592"/>
      <c r="F23" s="592"/>
      <c r="G23" s="592"/>
      <c r="H23" s="592"/>
      <c r="I23" s="592"/>
      <c r="J23" s="592"/>
      <c r="K23" s="592"/>
      <c r="L23" s="592"/>
      <c r="M23" s="592"/>
      <c r="N23" s="432"/>
      <c r="O23" s="2246"/>
      <c r="P23" s="2246"/>
      <c r="Q23" s="2246"/>
      <c r="R23" s="2246"/>
      <c r="S23" s="2246"/>
      <c r="T23" s="432"/>
      <c r="U23" s="558"/>
      <c r="V23" s="579"/>
      <c r="W23" s="606"/>
      <c r="X23" s="601" t="s">
        <v>275</v>
      </c>
      <c r="Y23" s="602"/>
      <c r="Z23" s="602"/>
      <c r="AA23" s="603"/>
      <c r="AB23" s="604"/>
      <c r="AC23" s="605">
        <f ca="1">Dashboard!O61</f>
        <v>0</v>
      </c>
      <c r="AD23" s="206"/>
      <c r="AE23" s="206"/>
      <c r="AF23" s="206"/>
      <c r="AG23" s="579"/>
      <c r="AH23" s="579"/>
      <c r="AI23" s="630"/>
      <c r="BB23" s="583"/>
      <c r="BO23" s="596"/>
      <c r="BP23" s="596"/>
      <c r="BQ23" s="596"/>
      <c r="BR23" s="596"/>
      <c r="BS23" s="596"/>
      <c r="BT23" s="596"/>
      <c r="BU23" s="596"/>
      <c r="BV23" s="596"/>
      <c r="BW23" s="596"/>
    </row>
    <row r="24" spans="1:75" ht="15" customHeight="1" x14ac:dyDescent="0.3">
      <c r="A24" s="594"/>
      <c r="B24" s="1126">
        <f>Admin!J15</f>
        <v>5</v>
      </c>
      <c r="C24" s="1127"/>
      <c r="D24" s="1128" t="str">
        <f>IF(AND($B$24&gt;=D7,$B$24&lt;E7),"↓","")</f>
        <v/>
      </c>
      <c r="E24" s="1362" t="str">
        <f t="shared" ref="E24:L24" si="6">IF(AND($B$24&gt;=E7,$B$24&lt;F7),"↓","")</f>
        <v/>
      </c>
      <c r="F24" s="1362" t="str">
        <f t="shared" si="6"/>
        <v/>
      </c>
      <c r="G24" s="1362" t="str">
        <f t="shared" si="6"/>
        <v/>
      </c>
      <c r="H24" s="1362" t="str">
        <f t="shared" si="6"/>
        <v/>
      </c>
      <c r="I24" s="1362" t="str">
        <f t="shared" si="6"/>
        <v/>
      </c>
      <c r="J24" s="1362" t="str">
        <f t="shared" si="6"/>
        <v/>
      </c>
      <c r="K24" s="1362" t="str">
        <f t="shared" si="6"/>
        <v/>
      </c>
      <c r="L24" s="1362" t="str">
        <f t="shared" si="6"/>
        <v/>
      </c>
      <c r="M24" s="1362" t="str">
        <f>IF(AND($B$24&gt;=M7,$B$24&lt;=N7),"↓","")</f>
        <v>↓</v>
      </c>
      <c r="N24" s="2179" t="str">
        <f>IF(OR('Data Analysis'!G255=1,'Data Analysis'!G256=1,'Data Analysis'!G257=1,'Data Analysis'!G258=1,'Data Analysis'!G259=1,'Data Analysis'!G261=1,'Data Analysis'!G262=1,'Data Analysis'!G263=1),"WARNING! 
Potential Deal Breaker Triggered","")</f>
        <v/>
      </c>
      <c r="O24" s="2179"/>
      <c r="P24" s="2179"/>
      <c r="Q24" s="2179"/>
      <c r="R24" s="2179"/>
      <c r="S24" s="2179"/>
      <c r="T24" s="2179"/>
      <c r="U24" s="558"/>
      <c r="V24" s="579"/>
      <c r="W24" s="246"/>
      <c r="X24" s="267" t="s">
        <v>472</v>
      </c>
      <c r="Y24" s="314"/>
      <c r="Z24" s="314"/>
      <c r="AA24" s="315"/>
      <c r="AB24" s="182"/>
      <c r="AC24" s="1838">
        <f>'Data Analysis'!P267</f>
        <v>0</v>
      </c>
      <c r="AD24" s="1361"/>
      <c r="AE24" s="1361"/>
      <c r="AF24" s="1361"/>
      <c r="AG24" s="579"/>
      <c r="AH24" s="579"/>
      <c r="AI24" s="630"/>
      <c r="BB24" s="583"/>
      <c r="BO24" s="596"/>
      <c r="BP24" s="596"/>
      <c r="BQ24" s="596"/>
      <c r="BR24" s="596"/>
      <c r="BS24" s="596"/>
      <c r="BT24" s="596"/>
      <c r="BU24" s="596"/>
      <c r="BV24" s="596"/>
      <c r="BW24" s="596"/>
    </row>
    <row r="25" spans="1:75" ht="15" customHeight="1" x14ac:dyDescent="0.3">
      <c r="A25" s="598"/>
      <c r="B25" s="1129"/>
      <c r="C25" s="1127"/>
      <c r="D25" s="1130"/>
      <c r="E25" s="1120"/>
      <c r="F25" s="1120"/>
      <c r="G25" s="1120"/>
      <c r="H25" s="1120"/>
      <c r="I25" s="1120"/>
      <c r="J25" s="1120"/>
      <c r="K25" s="1120"/>
      <c r="L25" s="1120"/>
      <c r="M25" s="1120"/>
      <c r="N25" s="2179"/>
      <c r="O25" s="2179"/>
      <c r="P25" s="2179"/>
      <c r="Q25" s="2179"/>
      <c r="R25" s="2179"/>
      <c r="S25" s="2179"/>
      <c r="T25" s="2179"/>
      <c r="U25" s="558"/>
      <c r="V25" s="579"/>
      <c r="W25" s="246"/>
      <c r="X25" s="267" t="s">
        <v>485</v>
      </c>
      <c r="Y25" s="314"/>
      <c r="Z25" s="314"/>
      <c r="AA25" s="315"/>
      <c r="AB25" s="182"/>
      <c r="AC25" s="1838">
        <f>'Data Analysis'!P269</f>
        <v>0</v>
      </c>
      <c r="AD25" s="1361"/>
      <c r="AE25" s="1361"/>
      <c r="AF25" s="1361"/>
      <c r="AG25" s="579"/>
      <c r="AH25" s="579"/>
      <c r="AI25" s="630"/>
      <c r="BB25" s="583"/>
      <c r="BO25" s="596"/>
      <c r="BP25" s="596"/>
      <c r="BQ25" s="596"/>
      <c r="BR25" s="596"/>
      <c r="BS25" s="596"/>
      <c r="BT25" s="596"/>
      <c r="BU25" s="596"/>
      <c r="BV25" s="596"/>
      <c r="BW25" s="596"/>
    </row>
    <row r="26" spans="1:75" ht="15" customHeight="1" thickBot="1" x14ac:dyDescent="0.35">
      <c r="A26" s="594"/>
      <c r="B26" s="1085"/>
      <c r="C26" s="607"/>
      <c r="D26" s="607"/>
      <c r="E26" s="608"/>
      <c r="F26" s="608"/>
      <c r="G26" s="608"/>
      <c r="H26" s="608"/>
      <c r="I26" s="608"/>
      <c r="J26" s="608"/>
      <c r="K26" s="608"/>
      <c r="L26" s="608"/>
      <c r="M26" s="609"/>
      <c r="N26" s="609"/>
      <c r="O26" s="609"/>
      <c r="P26" s="609"/>
      <c r="Q26" s="609"/>
      <c r="R26" s="609"/>
      <c r="S26" s="609"/>
      <c r="T26" s="609"/>
      <c r="U26" s="610"/>
      <c r="V26" s="579"/>
      <c r="W26" s="268"/>
      <c r="X26" s="1842" t="s">
        <v>486</v>
      </c>
      <c r="Y26" s="1843"/>
      <c r="Z26" s="1843"/>
      <c r="AA26" s="1844"/>
      <c r="AB26" s="404"/>
      <c r="AC26" s="1845">
        <f>'Data Analysis'!P268</f>
        <v>0</v>
      </c>
      <c r="AD26" s="1361"/>
      <c r="AE26" s="1361"/>
      <c r="AF26" s="1361"/>
      <c r="AG26" s="579"/>
      <c r="AH26" s="579"/>
      <c r="AI26" s="630"/>
      <c r="BB26" s="582"/>
      <c r="BO26" s="596"/>
      <c r="BP26" s="596"/>
      <c r="BQ26" s="596"/>
      <c r="BR26" s="596"/>
      <c r="BS26" s="596"/>
      <c r="BT26" s="596"/>
      <c r="BU26" s="596"/>
      <c r="BV26" s="596"/>
      <c r="BW26" s="596"/>
    </row>
    <row r="27" spans="1:75" ht="15" customHeight="1" x14ac:dyDescent="0.3">
      <c r="A27" s="594"/>
      <c r="B27" s="1085"/>
      <c r="F27" s="427"/>
      <c r="G27" s="427"/>
      <c r="H27" s="427"/>
      <c r="I27" s="427"/>
      <c r="J27" s="427"/>
      <c r="K27" s="427"/>
      <c r="L27" s="427"/>
      <c r="M27" s="579"/>
      <c r="N27" s="579"/>
      <c r="O27" s="579"/>
      <c r="P27" s="579"/>
      <c r="Q27" s="579"/>
      <c r="R27" s="579"/>
      <c r="S27" s="579"/>
      <c r="T27" s="579"/>
      <c r="U27" s="579"/>
      <c r="V27" s="579"/>
      <c r="W27" s="579"/>
      <c r="X27" s="579"/>
      <c r="Y27" s="579"/>
      <c r="Z27" s="579"/>
      <c r="AA27" s="579"/>
      <c r="AB27" s="579"/>
      <c r="AC27" s="579"/>
      <c r="AD27" s="73"/>
      <c r="AE27" s="73"/>
      <c r="AF27" s="73"/>
      <c r="AG27" s="579"/>
      <c r="AH27" s="579"/>
      <c r="AI27" s="630"/>
      <c r="BB27" s="583"/>
      <c r="BO27" s="596"/>
      <c r="BP27" s="596"/>
      <c r="BQ27" s="596"/>
      <c r="BR27" s="596"/>
      <c r="BS27" s="596"/>
      <c r="BT27" s="596"/>
      <c r="BU27" s="596"/>
      <c r="BV27" s="596"/>
      <c r="BW27" s="596"/>
    </row>
    <row r="28" spans="1:75" ht="15" hidden="1" customHeight="1" x14ac:dyDescent="0.3">
      <c r="A28" s="598"/>
      <c r="B28" s="1085"/>
      <c r="F28" s="427"/>
      <c r="G28" s="427"/>
      <c r="H28" s="427"/>
      <c r="I28" s="427"/>
      <c r="J28" s="427"/>
      <c r="K28" s="427"/>
      <c r="L28" s="427"/>
      <c r="M28" s="579"/>
      <c r="N28" s="579"/>
      <c r="O28" s="579"/>
      <c r="P28" s="579"/>
      <c r="Q28" s="579"/>
      <c r="R28" s="579"/>
      <c r="S28" s="579"/>
      <c r="T28" s="579"/>
      <c r="U28" s="579"/>
      <c r="V28" s="579"/>
      <c r="W28" s="579"/>
      <c r="X28" s="579"/>
      <c r="Y28" s="579"/>
      <c r="Z28" s="579"/>
      <c r="AA28" s="579"/>
      <c r="AB28" s="579"/>
      <c r="AC28" s="579"/>
      <c r="AD28" s="73"/>
      <c r="AE28" s="73"/>
      <c r="AF28" s="73"/>
      <c r="AG28" s="579"/>
      <c r="AH28" s="579"/>
      <c r="AI28" s="630"/>
      <c r="BB28" s="582"/>
      <c r="BO28" s="596"/>
      <c r="BP28" s="596"/>
      <c r="BQ28" s="596"/>
      <c r="BR28" s="596"/>
      <c r="BS28" s="596"/>
      <c r="BT28" s="596"/>
      <c r="BU28" s="596"/>
      <c r="BV28" s="596"/>
      <c r="BW28" s="596"/>
    </row>
    <row r="29" spans="1:75" s="611" customFormat="1" ht="15" hidden="1" customHeight="1" x14ac:dyDescent="0.3">
      <c r="A29" s="594"/>
      <c r="B29" s="1085"/>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630"/>
      <c r="BA29" s="612"/>
      <c r="BB29" s="583"/>
      <c r="BC29" s="612"/>
      <c r="BO29" s="613"/>
      <c r="BP29" s="613"/>
      <c r="BQ29" s="596"/>
      <c r="BR29" s="596"/>
      <c r="BS29" s="613"/>
      <c r="BT29" s="613"/>
      <c r="BU29" s="613"/>
      <c r="BV29" s="613"/>
      <c r="BW29" s="613"/>
    </row>
    <row r="30" spans="1:75" s="430" customFormat="1" ht="15" hidden="1" customHeight="1" x14ac:dyDescent="0.3">
      <c r="A30" s="594"/>
      <c r="B30" s="1084"/>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630"/>
      <c r="BA30" s="582"/>
      <c r="BB30" s="583"/>
      <c r="BC30" s="582"/>
      <c r="BO30" s="589"/>
      <c r="BP30" s="589"/>
      <c r="BQ30" s="589"/>
      <c r="BR30" s="589"/>
      <c r="BS30" s="589"/>
      <c r="BT30" s="589"/>
      <c r="BU30" s="589"/>
      <c r="BV30" s="589"/>
      <c r="BW30" s="589"/>
    </row>
    <row r="31" spans="1:75" ht="15" customHeight="1" x14ac:dyDescent="0.3">
      <c r="A31" s="433"/>
      <c r="B31" s="1087"/>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29"/>
      <c r="BB31" s="583"/>
      <c r="BO31" s="596"/>
      <c r="BP31" s="596"/>
      <c r="BQ31" s="596"/>
      <c r="BR31" s="596"/>
      <c r="BS31" s="596"/>
      <c r="BT31" s="596"/>
      <c r="BU31" s="596"/>
      <c r="BV31" s="596"/>
      <c r="BW31" s="596"/>
    </row>
    <row r="32" spans="1:75" ht="15" customHeight="1" x14ac:dyDescent="0.3">
      <c r="A32" s="433"/>
      <c r="B32" s="1088" t="s">
        <v>31</v>
      </c>
      <c r="C32" s="1364" t="s">
        <v>91</v>
      </c>
      <c r="D32" s="1364" t="s">
        <v>91</v>
      </c>
      <c r="E32" s="1364"/>
      <c r="F32" s="1364"/>
      <c r="G32" s="1364"/>
      <c r="H32" s="1364"/>
      <c r="I32" s="1364"/>
      <c r="J32" s="1364"/>
      <c r="K32" s="1364"/>
      <c r="L32" s="1364"/>
      <c r="M32" s="1364"/>
      <c r="N32" s="1364"/>
      <c r="O32" s="1364"/>
      <c r="P32" s="1364"/>
      <c r="Q32" s="1364"/>
      <c r="R32" s="1364"/>
      <c r="S32" s="1364"/>
      <c r="T32" s="1364"/>
      <c r="U32" s="1364"/>
      <c r="V32" s="1364"/>
      <c r="W32" s="1364"/>
      <c r="X32" s="1364"/>
      <c r="Y32" s="1364"/>
      <c r="Z32" s="1364"/>
      <c r="AA32" s="1364"/>
      <c r="AB32" s="2238" t="s">
        <v>32</v>
      </c>
      <c r="AC32" s="2238"/>
      <c r="AD32" s="2238" t="s">
        <v>115</v>
      </c>
      <c r="AE32" s="2238"/>
      <c r="AF32" s="2238"/>
      <c r="AG32" s="2238"/>
      <c r="AH32" s="2238"/>
      <c r="AI32" s="629"/>
      <c r="BB32" s="582"/>
      <c r="BO32" s="596"/>
      <c r="BP32" s="596"/>
      <c r="BQ32" s="596"/>
      <c r="BR32" s="596"/>
      <c r="BS32" s="596"/>
      <c r="BT32" s="596"/>
      <c r="BU32" s="596"/>
      <c r="BV32" s="596"/>
      <c r="BW32" s="596"/>
    </row>
    <row r="33" spans="1:75" ht="15" customHeight="1" x14ac:dyDescent="0.3">
      <c r="A33" s="433"/>
      <c r="B33" s="2057">
        <v>1</v>
      </c>
      <c r="C33" s="2057"/>
      <c r="D33" s="2244" t="s">
        <v>304</v>
      </c>
      <c r="E33" s="2244"/>
      <c r="F33" s="2244"/>
      <c r="G33" s="2244"/>
      <c r="H33" s="2244"/>
      <c r="I33" s="2244"/>
      <c r="J33" s="2244"/>
      <c r="K33" s="2244"/>
      <c r="L33" s="2244"/>
      <c r="M33" s="2244"/>
      <c r="N33" s="2244"/>
      <c r="O33" s="2244"/>
      <c r="P33" s="2244"/>
      <c r="Q33" s="2244"/>
      <c r="R33" s="2244"/>
      <c r="S33" s="2244"/>
      <c r="T33" s="2244"/>
      <c r="U33" s="2244"/>
      <c r="V33" s="2244"/>
      <c r="W33" s="2244"/>
      <c r="X33" s="2244"/>
      <c r="Y33" s="2244"/>
      <c r="Z33" s="2244"/>
      <c r="AA33" s="2244"/>
      <c r="AB33" s="2248" t="str">
        <f>IF(D34=0,"Not Applicable","")</f>
        <v/>
      </c>
      <c r="AC33" s="2248" t="e">
        <f>IF(#REF!=0,"Not Applicable","")</f>
        <v>#REF!</v>
      </c>
      <c r="AD33" s="2258"/>
      <c r="AE33" s="2258"/>
      <c r="AF33" s="2258"/>
      <c r="AG33" s="2258"/>
      <c r="AH33" s="2258"/>
      <c r="AI33" s="629"/>
      <c r="BB33" s="582"/>
      <c r="BO33" s="596"/>
      <c r="BP33" s="596"/>
      <c r="BQ33" s="596"/>
      <c r="BR33" s="596"/>
      <c r="BS33" s="596"/>
      <c r="BT33" s="596"/>
      <c r="BU33" s="596"/>
      <c r="BV33" s="596"/>
      <c r="BW33" s="596"/>
    </row>
    <row r="34" spans="1:75" ht="15" customHeight="1" x14ac:dyDescent="0.3">
      <c r="A34" s="433"/>
      <c r="B34" s="23" t="s">
        <v>63</v>
      </c>
      <c r="C34" s="23" t="str">
        <f>Questions!C15</f>
        <v>FA1</v>
      </c>
      <c r="D34" s="2212" t="str">
        <f>VLOOKUP(C34,Questions!$C$3:$H$170,6,FALSE)</f>
        <v>Is the project likely to be based on technology that has been proven commercially in similar environments previously?</v>
      </c>
      <c r="E34" s="2212"/>
      <c r="F34" s="2212"/>
      <c r="G34" s="2212"/>
      <c r="H34" s="2212"/>
      <c r="I34" s="2212"/>
      <c r="J34" s="2212"/>
      <c r="K34" s="2212"/>
      <c r="L34" s="2212"/>
      <c r="M34" s="2212"/>
      <c r="N34" s="2212"/>
      <c r="O34" s="2212"/>
      <c r="P34" s="2212"/>
      <c r="Q34" s="2212"/>
      <c r="R34" s="2212"/>
      <c r="S34" s="2212"/>
      <c r="T34" s="2212"/>
      <c r="U34" s="2212"/>
      <c r="V34" s="2212"/>
      <c r="W34" s="2212"/>
      <c r="X34" s="2212"/>
      <c r="Y34" s="2212"/>
      <c r="Z34" s="2212"/>
      <c r="AA34" s="2212"/>
      <c r="AB34" s="2078" t="s">
        <v>34</v>
      </c>
      <c r="AC34" s="2078"/>
      <c r="AD34" s="2252"/>
      <c r="AE34" s="2252"/>
      <c r="AF34" s="2252"/>
      <c r="AG34" s="2252"/>
      <c r="AH34" s="2252"/>
      <c r="AI34" s="629"/>
      <c r="BB34" s="582"/>
      <c r="BO34" s="596"/>
      <c r="BP34" s="596"/>
      <c r="BQ34" s="596"/>
      <c r="BR34" s="596"/>
      <c r="BS34" s="596"/>
      <c r="BT34" s="596"/>
      <c r="BU34" s="596"/>
      <c r="BV34" s="596"/>
      <c r="BW34" s="596"/>
    </row>
    <row r="35" spans="1:75" ht="15" customHeight="1" x14ac:dyDescent="0.3">
      <c r="A35" s="433"/>
      <c r="B35" s="23" t="s">
        <v>64</v>
      </c>
      <c r="C35" s="23" t="str">
        <f>Questions!C16</f>
        <v>FA2</v>
      </c>
      <c r="D35" s="2250" t="str">
        <f>VLOOKUP(C35,Questions!$C$3:$H$170,6,FALSE)</f>
        <v>Is the project's scope of work comparable to other reference projects?</v>
      </c>
      <c r="E35" s="2250"/>
      <c r="F35" s="2250"/>
      <c r="G35" s="2250"/>
      <c r="H35" s="2250"/>
      <c r="I35" s="2250"/>
      <c r="J35" s="2250"/>
      <c r="K35" s="2250"/>
      <c r="L35" s="2250"/>
      <c r="M35" s="2250"/>
      <c r="N35" s="2250"/>
      <c r="O35" s="2250"/>
      <c r="P35" s="2250"/>
      <c r="Q35" s="2250"/>
      <c r="R35" s="2250"/>
      <c r="S35" s="2250"/>
      <c r="T35" s="2250"/>
      <c r="U35" s="2250"/>
      <c r="V35" s="2250"/>
      <c r="W35" s="2250"/>
      <c r="X35" s="2250"/>
      <c r="Y35" s="2250"/>
      <c r="Z35" s="2250"/>
      <c r="AA35" s="2250"/>
      <c r="AB35" s="2078" t="s">
        <v>34</v>
      </c>
      <c r="AC35" s="2078"/>
      <c r="AD35" s="2232"/>
      <c r="AE35" s="2232"/>
      <c r="AF35" s="2232"/>
      <c r="AG35" s="2232"/>
      <c r="AH35" s="2232"/>
      <c r="AI35" s="629"/>
      <c r="BB35" s="582"/>
      <c r="BO35" s="596"/>
      <c r="BP35" s="596"/>
      <c r="BQ35" s="596"/>
      <c r="BR35" s="596"/>
      <c r="BS35" s="596"/>
      <c r="BT35" s="596"/>
      <c r="BU35" s="596"/>
      <c r="BV35" s="596"/>
      <c r="BW35" s="596"/>
    </row>
    <row r="36" spans="1:75" ht="15" customHeight="1" x14ac:dyDescent="0.3">
      <c r="A36" s="433"/>
      <c r="B36" s="23" t="str">
        <f>IF(PD_13=0,0,"(iii)")</f>
        <v>(iii)</v>
      </c>
      <c r="C36" s="23" t="str">
        <f>IF('0.Basic Project Data'!$H$13='Data Analysis'!$C$163,Questions!C149,Questions!C17)</f>
        <v>FA3</v>
      </c>
      <c r="D36" s="2249" t="str">
        <f>VLOOKUP(C36,Questions!$C$3:$H$170,6,FALSE)</f>
        <v>Are the technical cost estimates in line with required output specifications?</v>
      </c>
      <c r="E36" s="2249"/>
      <c r="F36" s="2249"/>
      <c r="G36" s="2249"/>
      <c r="H36" s="2249"/>
      <c r="I36" s="2249"/>
      <c r="J36" s="2249"/>
      <c r="K36" s="2249"/>
      <c r="L36" s="2249"/>
      <c r="M36" s="2249"/>
      <c r="N36" s="2249"/>
      <c r="O36" s="2249"/>
      <c r="P36" s="2249"/>
      <c r="Q36" s="2249"/>
      <c r="R36" s="2249"/>
      <c r="S36" s="2249"/>
      <c r="T36" s="2249"/>
      <c r="U36" s="2249"/>
      <c r="V36" s="2249"/>
      <c r="W36" s="2249"/>
      <c r="X36" s="2249"/>
      <c r="Y36" s="2249"/>
      <c r="Z36" s="2249"/>
      <c r="AA36" s="2249"/>
      <c r="AB36" s="2165" t="s">
        <v>34</v>
      </c>
      <c r="AC36" s="2165"/>
      <c r="AD36" s="2232"/>
      <c r="AE36" s="2232"/>
      <c r="AF36" s="2232"/>
      <c r="AG36" s="2232"/>
      <c r="AH36" s="2232"/>
      <c r="AI36" s="629"/>
      <c r="BB36" s="582"/>
    </row>
    <row r="37" spans="1:75" ht="15" customHeight="1" x14ac:dyDescent="0.3">
      <c r="A37" s="433"/>
      <c r="B37" s="23" t="str">
        <f>IF(B36=0,"(iii)","(iv)")</f>
        <v>(iv)</v>
      </c>
      <c r="C37" s="23" t="str">
        <f>Questions!C18</f>
        <v>FA4</v>
      </c>
      <c r="D37" s="2249" t="str">
        <f>VLOOKUP(C37,Questions!$C$3:$H$170,6,FALSE)</f>
        <v>Are the life cycle costs for major components of the project reasonable and affordable?</v>
      </c>
      <c r="E37" s="2249"/>
      <c r="F37" s="2249"/>
      <c r="G37" s="2249"/>
      <c r="H37" s="2249"/>
      <c r="I37" s="2249"/>
      <c r="J37" s="2249"/>
      <c r="K37" s="2249"/>
      <c r="L37" s="2249"/>
      <c r="M37" s="2249"/>
      <c r="N37" s="2249"/>
      <c r="O37" s="2249"/>
      <c r="P37" s="2249"/>
      <c r="Q37" s="2249"/>
      <c r="R37" s="2249"/>
      <c r="S37" s="2249"/>
      <c r="T37" s="2249"/>
      <c r="U37" s="2249"/>
      <c r="V37" s="2249"/>
      <c r="W37" s="2249"/>
      <c r="X37" s="2249"/>
      <c r="Y37" s="2249"/>
      <c r="Z37" s="2249"/>
      <c r="AA37" s="2249"/>
      <c r="AB37" s="2165" t="s">
        <v>34</v>
      </c>
      <c r="AC37" s="2165"/>
      <c r="AD37" s="2232"/>
      <c r="AE37" s="2232"/>
      <c r="AF37" s="2232"/>
      <c r="AG37" s="2232"/>
      <c r="AH37" s="2232"/>
      <c r="AI37" s="629"/>
      <c r="BB37" s="582"/>
    </row>
    <row r="38" spans="1:75" ht="15" customHeight="1" x14ac:dyDescent="0.3">
      <c r="A38" s="433"/>
      <c r="B38" s="23" t="str">
        <f>IF(B36=0,"(iv)","(v)")</f>
        <v>(v)</v>
      </c>
      <c r="C38" s="23" t="str">
        <f>IF('0.Basic Project Data'!$H$13='Data Analysis'!$C$164,Questions!C150,Questions!C19)</f>
        <v>FA5</v>
      </c>
      <c r="D38" s="2212" t="str">
        <f>VLOOKUP(C38,Questions!$C$3:$H$170,6,FALSE)</f>
        <v>Has a site suitability assessment been completed for the proposed project site?</v>
      </c>
      <c r="E38" s="2212"/>
      <c r="F38" s="2212"/>
      <c r="G38" s="2212"/>
      <c r="H38" s="2212"/>
      <c r="I38" s="2212"/>
      <c r="J38" s="2212"/>
      <c r="K38" s="2212"/>
      <c r="L38" s="2212"/>
      <c r="M38" s="2212"/>
      <c r="N38" s="2212"/>
      <c r="O38" s="2212"/>
      <c r="P38" s="2212"/>
      <c r="Q38" s="2212"/>
      <c r="R38" s="2212"/>
      <c r="S38" s="2212"/>
      <c r="T38" s="2212"/>
      <c r="U38" s="2212"/>
      <c r="V38" s="2212"/>
      <c r="W38" s="2212"/>
      <c r="X38" s="2212"/>
      <c r="Y38" s="2212"/>
      <c r="Z38" s="2212"/>
      <c r="AA38" s="2212"/>
      <c r="AB38" s="2078" t="s">
        <v>34</v>
      </c>
      <c r="AC38" s="2078"/>
      <c r="AD38" s="2232"/>
      <c r="AE38" s="2232"/>
      <c r="AF38" s="2232"/>
      <c r="AG38" s="2232"/>
      <c r="AH38" s="2232"/>
      <c r="AI38" s="629"/>
      <c r="BB38" s="583" t="str">
        <f>IF(D84=0,"",IF(AB84="No",D75,""))</f>
        <v/>
      </c>
    </row>
    <row r="39" spans="1:75" ht="15" customHeight="1" x14ac:dyDescent="0.3">
      <c r="A39" s="433"/>
      <c r="B39" s="23" t="str">
        <f>IF(B36=0,"(v)","(vi)")</f>
        <v>(vi)</v>
      </c>
      <c r="C39" s="23" t="str">
        <f>IF('0.Basic Project Data'!$H$13='Data Analysis'!$C$164,Questions!C149,Questions!C20)</f>
        <v>FA6</v>
      </c>
      <c r="D39" s="2249" t="str">
        <f>VLOOKUP(C39,Questions!$C$3:$H$170,6,FALSE)</f>
        <v>Is the proposed site accessible with any potential challenges during construction being manageable?</v>
      </c>
      <c r="E39" s="2249"/>
      <c r="F39" s="2249"/>
      <c r="G39" s="2249"/>
      <c r="H39" s="2249"/>
      <c r="I39" s="2249"/>
      <c r="J39" s="2249"/>
      <c r="K39" s="2249"/>
      <c r="L39" s="2249"/>
      <c r="M39" s="2249"/>
      <c r="N39" s="2249"/>
      <c r="O39" s="2249"/>
      <c r="P39" s="2249"/>
      <c r="Q39" s="2249"/>
      <c r="R39" s="2249"/>
      <c r="S39" s="2249"/>
      <c r="T39" s="2249"/>
      <c r="U39" s="2249"/>
      <c r="V39" s="2249"/>
      <c r="W39" s="2249"/>
      <c r="X39" s="2249"/>
      <c r="Y39" s="2249"/>
      <c r="Z39" s="2249"/>
      <c r="AA39" s="2249"/>
      <c r="AB39" s="2165" t="s">
        <v>34</v>
      </c>
      <c r="AC39" s="2165"/>
      <c r="AD39" s="2232"/>
      <c r="AE39" s="2232"/>
      <c r="AF39" s="2232"/>
      <c r="AG39" s="2232"/>
      <c r="AH39" s="2232"/>
      <c r="AI39" s="629"/>
    </row>
    <row r="40" spans="1:75" ht="15" customHeight="1" x14ac:dyDescent="0.3">
      <c r="A40" s="433"/>
      <c r="B40" s="23" t="str">
        <f>IF(B36=0,"(vi)","(vii)")</f>
        <v>(vii)</v>
      </c>
      <c r="C40" s="23" t="str">
        <f>IF('0.Basic Project Data'!$H$13='Data Analysis'!$C$164,Questions!C149,Questions!C21)</f>
        <v>FA7</v>
      </c>
      <c r="D40" s="2212" t="str">
        <f>VLOOKUP(C40,Questions!$C$3:$H$170,6,FALSE)</f>
        <v>Will the project be able to source the required skills, locally or from overseas, in relation to the project's Construction, Operations and Maintenance?</v>
      </c>
      <c r="E40" s="2212"/>
      <c r="F40" s="2212"/>
      <c r="G40" s="2212"/>
      <c r="H40" s="2212"/>
      <c r="I40" s="2212"/>
      <c r="J40" s="2212"/>
      <c r="K40" s="2212"/>
      <c r="L40" s="2212"/>
      <c r="M40" s="2212"/>
      <c r="N40" s="2212"/>
      <c r="O40" s="2212"/>
      <c r="P40" s="2212"/>
      <c r="Q40" s="2212"/>
      <c r="R40" s="2212"/>
      <c r="S40" s="2212"/>
      <c r="T40" s="2212"/>
      <c r="U40" s="2212"/>
      <c r="V40" s="2212"/>
      <c r="W40" s="2212"/>
      <c r="X40" s="2212"/>
      <c r="Y40" s="2212"/>
      <c r="Z40" s="2212"/>
      <c r="AA40" s="2212"/>
      <c r="AB40" s="2078" t="s">
        <v>34</v>
      </c>
      <c r="AC40" s="2078"/>
      <c r="AD40" s="2232"/>
      <c r="AE40" s="2232"/>
      <c r="AF40" s="2232"/>
      <c r="AG40" s="2232"/>
      <c r="AH40" s="2232"/>
      <c r="AI40" s="629"/>
    </row>
    <row r="41" spans="1:75" ht="15" customHeight="1" x14ac:dyDescent="0.3">
      <c r="B41" s="427"/>
      <c r="C41" s="48"/>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2251"/>
      <c r="AE41" s="2251"/>
      <c r="AF41" s="2251"/>
      <c r="AG41" s="2251"/>
      <c r="AH41" s="2251"/>
      <c r="AI41" s="629"/>
    </row>
    <row r="42" spans="1:75" ht="15" customHeight="1" x14ac:dyDescent="0.3">
      <c r="A42" s="617"/>
      <c r="B42" s="618">
        <v>2</v>
      </c>
      <c r="C42" s="618"/>
      <c r="D42" s="2244" t="s">
        <v>571</v>
      </c>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8" t="str">
        <f>IF(D43=0,"Not Applicable","")</f>
        <v/>
      </c>
      <c r="AC42" s="2248" t="str">
        <f>IF(E43=0,"Not Applicable","")</f>
        <v>Not Applicable</v>
      </c>
      <c r="AD42" s="2252"/>
      <c r="AE42" s="2252"/>
      <c r="AF42" s="2252"/>
      <c r="AG42" s="2252"/>
      <c r="AH42" s="2252"/>
      <c r="AI42" s="629"/>
    </row>
    <row r="43" spans="1:75" ht="19.5" customHeight="1" x14ac:dyDescent="0.3">
      <c r="A43" s="433"/>
      <c r="B43" s="23" t="s">
        <v>63</v>
      </c>
      <c r="C43" s="23" t="str">
        <f>Questions!C22</f>
        <v>FB1</v>
      </c>
      <c r="D43" s="2212" t="str">
        <f>VLOOKUP(C43,Questions!$C$3:$H$170,6,FALSE)</f>
        <v xml:space="preserve">Is there a reliable initial environmental analysis related to the project? </v>
      </c>
      <c r="E43" s="2212"/>
      <c r="F43" s="2212"/>
      <c r="G43" s="2212"/>
      <c r="H43" s="2212"/>
      <c r="I43" s="2212"/>
      <c r="J43" s="2212"/>
      <c r="K43" s="2212"/>
      <c r="L43" s="2212"/>
      <c r="M43" s="2212"/>
      <c r="N43" s="2212"/>
      <c r="O43" s="2212"/>
      <c r="P43" s="2212"/>
      <c r="Q43" s="2212"/>
      <c r="R43" s="2212"/>
      <c r="S43" s="2212"/>
      <c r="T43" s="2212"/>
      <c r="U43" s="2212"/>
      <c r="V43" s="2212"/>
      <c r="W43" s="2212"/>
      <c r="X43" s="2212"/>
      <c r="Y43" s="2212"/>
      <c r="Z43" s="2212"/>
      <c r="AA43" s="2212"/>
      <c r="AB43" s="2078" t="s">
        <v>34</v>
      </c>
      <c r="AC43" s="2078"/>
      <c r="AD43" s="2232"/>
      <c r="AE43" s="2232"/>
      <c r="AF43" s="2232"/>
      <c r="AG43" s="2232"/>
      <c r="AH43" s="2232"/>
      <c r="AI43" s="629"/>
    </row>
    <row r="44" spans="1:75" ht="18.600000000000001" customHeight="1" x14ac:dyDescent="0.3">
      <c r="A44" s="433"/>
      <c r="B44" s="23" t="s">
        <v>64</v>
      </c>
      <c r="C44" s="23" t="str">
        <f>Questions!C23</f>
        <v>FB2</v>
      </c>
      <c r="D44" s="2249" t="str">
        <f>VLOOKUP(C44,Questions!$C$3:$H$170,6,FALSE)</f>
        <v>Will the project have any significant negative impact on any natural resources or protected land?</v>
      </c>
      <c r="E44" s="2249"/>
      <c r="F44" s="2249"/>
      <c r="G44" s="2249"/>
      <c r="H44" s="2249"/>
      <c r="I44" s="2249"/>
      <c r="J44" s="2249"/>
      <c r="K44" s="2249"/>
      <c r="L44" s="2249"/>
      <c r="M44" s="2249"/>
      <c r="N44" s="2249"/>
      <c r="O44" s="2249"/>
      <c r="P44" s="2249"/>
      <c r="Q44" s="2249"/>
      <c r="R44" s="2249"/>
      <c r="S44" s="2249"/>
      <c r="T44" s="2249"/>
      <c r="U44" s="2249"/>
      <c r="V44" s="2249"/>
      <c r="W44" s="2249"/>
      <c r="X44" s="2249"/>
      <c r="Y44" s="2249"/>
      <c r="Z44" s="2249"/>
      <c r="AA44" s="2249"/>
      <c r="AB44" s="2165" t="s">
        <v>39</v>
      </c>
      <c r="AC44" s="2165"/>
      <c r="AD44" s="2232"/>
      <c r="AE44" s="2232"/>
      <c r="AF44" s="2232"/>
      <c r="AG44" s="2232"/>
      <c r="AH44" s="2232"/>
      <c r="AI44" s="629"/>
    </row>
    <row r="45" spans="1:75" ht="31.5" customHeight="1" x14ac:dyDescent="0.3">
      <c r="A45" s="433"/>
      <c r="B45" s="23" t="s">
        <v>65</v>
      </c>
      <c r="C45" s="23" t="str">
        <f>Questions!C24</f>
        <v>FB3</v>
      </c>
      <c r="D45" s="2250" t="str">
        <f>VLOOKUP(C45,Questions!$C$3:$H$170,6,FALSE)</f>
        <v>Is the identified environmental management strategy, or its related approvals, likely to result in uncertainties or delays that could impede the implementation of the project?</v>
      </c>
      <c r="E45" s="2250"/>
      <c r="F45" s="2250"/>
      <c r="G45" s="2250"/>
      <c r="H45" s="2250"/>
      <c r="I45" s="2250"/>
      <c r="J45" s="2250"/>
      <c r="K45" s="2250"/>
      <c r="L45" s="2250"/>
      <c r="M45" s="2250"/>
      <c r="N45" s="2250"/>
      <c r="O45" s="2250"/>
      <c r="P45" s="2250"/>
      <c r="Q45" s="2250"/>
      <c r="R45" s="2250"/>
      <c r="S45" s="2250"/>
      <c r="T45" s="2250"/>
      <c r="U45" s="2250"/>
      <c r="V45" s="2250"/>
      <c r="W45" s="2250"/>
      <c r="X45" s="2250"/>
      <c r="Y45" s="2250"/>
      <c r="Z45" s="2250"/>
      <c r="AA45" s="2250"/>
      <c r="AB45" s="2078" t="s">
        <v>39</v>
      </c>
      <c r="AC45" s="2078"/>
      <c r="AD45" s="2232"/>
      <c r="AE45" s="2232"/>
      <c r="AF45" s="2232"/>
      <c r="AG45" s="2232"/>
      <c r="AH45" s="2232"/>
      <c r="AI45" s="629"/>
    </row>
    <row r="46" spans="1:75" ht="15.6" x14ac:dyDescent="0.3">
      <c r="A46" s="433"/>
      <c r="B46" s="23" t="s">
        <v>66</v>
      </c>
      <c r="C46" s="23" t="str">
        <f>Questions!C83</f>
        <v>FB4</v>
      </c>
      <c r="D46" s="2250" t="str">
        <f>VLOOKUP(C46,Questions!$C$3:$H$170,6,FALSE)</f>
        <v>Will the completed project likely be carbon neutral or net carbon negative, in terms of greenhouse gas emissions?</v>
      </c>
      <c r="E46" s="2250"/>
      <c r="F46" s="2250"/>
      <c r="G46" s="2250"/>
      <c r="H46" s="2250"/>
      <c r="I46" s="2250"/>
      <c r="J46" s="2250"/>
      <c r="K46" s="2250"/>
      <c r="L46" s="2250"/>
      <c r="M46" s="2250"/>
      <c r="N46" s="2250"/>
      <c r="O46" s="2250"/>
      <c r="P46" s="2250"/>
      <c r="Q46" s="2250"/>
      <c r="R46" s="2250"/>
      <c r="S46" s="2250"/>
      <c r="T46" s="2250"/>
      <c r="U46" s="2250"/>
      <c r="V46" s="2250"/>
      <c r="W46" s="2250"/>
      <c r="X46" s="2250"/>
      <c r="Y46" s="2250"/>
      <c r="Z46" s="2250"/>
      <c r="AA46" s="2250"/>
      <c r="AB46" s="2078" t="s">
        <v>34</v>
      </c>
      <c r="AC46" s="2078"/>
      <c r="AD46" s="2232"/>
      <c r="AE46" s="2232"/>
      <c r="AF46" s="2232"/>
      <c r="AG46" s="2232"/>
      <c r="AH46" s="2232"/>
      <c r="AI46" s="629"/>
    </row>
    <row r="47" spans="1:75" ht="31.5" customHeight="1" x14ac:dyDescent="0.3">
      <c r="A47" s="433"/>
      <c r="B47" s="23" t="s">
        <v>69</v>
      </c>
      <c r="C47" s="23" t="str">
        <f>Questions!C84</f>
        <v>FB5</v>
      </c>
      <c r="D47" s="2250" t="str">
        <f>VLOOKUP(C47,Questions!$C$3:$H$170,6,FALSE)</f>
        <v>Will the design and systems of the project be resilient and adaptive to changes in climate conditions or other significant long-term changes in operational or environmental conditions?</v>
      </c>
      <c r="E47" s="2250"/>
      <c r="F47" s="2250"/>
      <c r="G47" s="2250"/>
      <c r="H47" s="2250"/>
      <c r="I47" s="2250"/>
      <c r="J47" s="2250"/>
      <c r="K47" s="2250"/>
      <c r="L47" s="2250"/>
      <c r="M47" s="2250"/>
      <c r="N47" s="2250"/>
      <c r="O47" s="2250"/>
      <c r="P47" s="2250"/>
      <c r="Q47" s="2250"/>
      <c r="R47" s="2250"/>
      <c r="S47" s="2250"/>
      <c r="T47" s="2250"/>
      <c r="U47" s="2250"/>
      <c r="V47" s="2250"/>
      <c r="W47" s="2250"/>
      <c r="X47" s="2250"/>
      <c r="Y47" s="2250"/>
      <c r="Z47" s="2250"/>
      <c r="AA47" s="2250"/>
      <c r="AB47" s="2078" t="s">
        <v>34</v>
      </c>
      <c r="AC47" s="2078"/>
      <c r="AD47" s="2232"/>
      <c r="AE47" s="2232"/>
      <c r="AF47" s="2232"/>
      <c r="AG47" s="2232"/>
      <c r="AH47" s="2232"/>
      <c r="AI47" s="629"/>
    </row>
    <row r="48" spans="1:75" ht="15.6" x14ac:dyDescent="0.3">
      <c r="A48" s="433"/>
      <c r="B48" s="23" t="s">
        <v>95</v>
      </c>
      <c r="C48" s="23" t="str">
        <f>Questions!C85</f>
        <v>FB6</v>
      </c>
      <c r="D48" s="2250" t="str">
        <f>VLOOKUP(C48,Questions!$C$3:$H$170,6,FALSE)</f>
        <v>Will the project design suitably address the impact of potential natural or human-induced hazards in the region?</v>
      </c>
      <c r="E48" s="2250"/>
      <c r="F48" s="2250"/>
      <c r="G48" s="2250"/>
      <c r="H48" s="2250"/>
      <c r="I48" s="2250"/>
      <c r="J48" s="2250"/>
      <c r="K48" s="2250"/>
      <c r="L48" s="2250"/>
      <c r="M48" s="2250"/>
      <c r="N48" s="2250"/>
      <c r="O48" s="2250"/>
      <c r="P48" s="2250"/>
      <c r="Q48" s="2250"/>
      <c r="R48" s="2250"/>
      <c r="S48" s="2250"/>
      <c r="T48" s="2250"/>
      <c r="U48" s="2250"/>
      <c r="V48" s="2250"/>
      <c r="W48" s="2250"/>
      <c r="X48" s="2250"/>
      <c r="Y48" s="2250"/>
      <c r="Z48" s="2250"/>
      <c r="AA48" s="2250"/>
      <c r="AB48" s="2078" t="s">
        <v>34</v>
      </c>
      <c r="AC48" s="2078"/>
      <c r="AD48" s="2232"/>
      <c r="AE48" s="2232"/>
      <c r="AF48" s="2232"/>
      <c r="AG48" s="2232"/>
      <c r="AH48" s="2232"/>
      <c r="AI48" s="629"/>
    </row>
    <row r="49" spans="1:35" ht="15" customHeight="1" x14ac:dyDescent="0.3">
      <c r="B49" s="427"/>
      <c r="C49" s="48"/>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2251"/>
      <c r="AE49" s="2251"/>
      <c r="AF49" s="2251"/>
      <c r="AG49" s="2251"/>
      <c r="AH49" s="2251"/>
      <c r="AI49" s="629"/>
    </row>
    <row r="50" spans="1:35" ht="15" customHeight="1" x14ac:dyDescent="0.3">
      <c r="A50" s="617"/>
      <c r="B50" s="618">
        <v>3</v>
      </c>
      <c r="C50" s="618"/>
      <c r="D50" s="2244" t="s">
        <v>572</v>
      </c>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8" t="str">
        <f>IF(D51=0,"Not Applicable","")</f>
        <v/>
      </c>
      <c r="AC50" s="2248" t="str">
        <f>IF(E51=0,"Not Applicable","")</f>
        <v>Not Applicable</v>
      </c>
      <c r="AD50" s="2252"/>
      <c r="AE50" s="2252"/>
      <c r="AF50" s="2252"/>
      <c r="AG50" s="2252"/>
      <c r="AH50" s="2252"/>
      <c r="AI50" s="629"/>
    </row>
    <row r="51" spans="1:35" ht="15" customHeight="1" x14ac:dyDescent="0.3">
      <c r="A51" s="617"/>
      <c r="B51" s="23" t="s">
        <v>63</v>
      </c>
      <c r="C51" s="23" t="str">
        <f>Questions!C27</f>
        <v>FC1</v>
      </c>
      <c r="D51" s="2212" t="str">
        <f>VLOOKUP(C51,Questions!$C$3:$H$170,6,FALSE)</f>
        <v xml:space="preserve">Is there a reliable initial social analysis related to the project? </v>
      </c>
      <c r="E51" s="2212"/>
      <c r="F51" s="2212"/>
      <c r="G51" s="2212"/>
      <c r="H51" s="2212"/>
      <c r="I51" s="2212"/>
      <c r="J51" s="2212"/>
      <c r="K51" s="2212"/>
      <c r="L51" s="2212"/>
      <c r="M51" s="2212"/>
      <c r="N51" s="2212"/>
      <c r="O51" s="2212"/>
      <c r="P51" s="2212"/>
      <c r="Q51" s="2212"/>
      <c r="R51" s="2212"/>
      <c r="S51" s="2212"/>
      <c r="T51" s="2212"/>
      <c r="U51" s="2212"/>
      <c r="V51" s="2212"/>
      <c r="W51" s="2212"/>
      <c r="X51" s="2212"/>
      <c r="Y51" s="2212"/>
      <c r="Z51" s="2212"/>
      <c r="AA51" s="2212"/>
      <c r="AB51" s="2078" t="s">
        <v>34</v>
      </c>
      <c r="AC51" s="2078"/>
      <c r="AD51" s="2232"/>
      <c r="AE51" s="2232"/>
      <c r="AF51" s="2232"/>
      <c r="AG51" s="2232"/>
      <c r="AH51" s="2232"/>
      <c r="AI51" s="629"/>
    </row>
    <row r="52" spans="1:35" ht="15" customHeight="1" x14ac:dyDescent="0.3">
      <c r="A52" s="617"/>
      <c r="B52" s="23" t="s">
        <v>64</v>
      </c>
      <c r="C52" s="23" t="str">
        <f>Questions!C28</f>
        <v>FC2</v>
      </c>
      <c r="D52" s="2249" t="str">
        <f>VLOOKUP(C52,Questions!$C$3:$H$170,6,FALSE)</f>
        <v xml:space="preserve">Will the project have a significant adverse impact on the health or quality of life of users, workers, or the local population? </v>
      </c>
      <c r="E52" s="2249"/>
      <c r="F52" s="2249"/>
      <c r="G52" s="2249"/>
      <c r="H52" s="2249"/>
      <c r="I52" s="2249"/>
      <c r="J52" s="2249"/>
      <c r="K52" s="2249"/>
      <c r="L52" s="2249"/>
      <c r="M52" s="2249"/>
      <c r="N52" s="2249"/>
      <c r="O52" s="2249"/>
      <c r="P52" s="2249"/>
      <c r="Q52" s="2249"/>
      <c r="R52" s="2249"/>
      <c r="S52" s="2249"/>
      <c r="T52" s="2249"/>
      <c r="U52" s="2249"/>
      <c r="V52" s="2249"/>
      <c r="W52" s="2249"/>
      <c r="X52" s="2249"/>
      <c r="Y52" s="2249"/>
      <c r="Z52" s="2249"/>
      <c r="AA52" s="2249"/>
      <c r="AB52" s="2165" t="s">
        <v>39</v>
      </c>
      <c r="AC52" s="2165"/>
      <c r="AD52" s="2001"/>
      <c r="AE52" s="2232"/>
      <c r="AF52" s="2232"/>
      <c r="AG52" s="2232"/>
      <c r="AH52" s="2232"/>
      <c r="AI52" s="629"/>
    </row>
    <row r="53" spans="1:35" ht="15" customHeight="1" x14ac:dyDescent="0.3">
      <c r="A53" s="617"/>
      <c r="B53" s="23" t="str">
        <f>IF(D53=0,"","(iii)")</f>
        <v>(iii)</v>
      </c>
      <c r="C53" s="23" t="str">
        <f>Questions!C29</f>
        <v>FC3</v>
      </c>
      <c r="D53" s="2249" t="str">
        <f>VLOOKUP(C53,Questions!$C$3:$H$170,6,FALSE)</f>
        <v>Is the project likely to be socially sustainable or have manageable social impacts?</v>
      </c>
      <c r="E53" s="2249"/>
      <c r="F53" s="2249"/>
      <c r="G53" s="2249"/>
      <c r="H53" s="2249"/>
      <c r="I53" s="2249"/>
      <c r="J53" s="2249"/>
      <c r="K53" s="2249"/>
      <c r="L53" s="2249"/>
      <c r="M53" s="2249"/>
      <c r="N53" s="2249"/>
      <c r="O53" s="2249"/>
      <c r="P53" s="2249"/>
      <c r="Q53" s="2249"/>
      <c r="R53" s="2249"/>
      <c r="S53" s="2249"/>
      <c r="T53" s="2249"/>
      <c r="U53" s="2249"/>
      <c r="V53" s="2249"/>
      <c r="W53" s="2249"/>
      <c r="X53" s="2249"/>
      <c r="Y53" s="2249"/>
      <c r="Z53" s="2249"/>
      <c r="AA53" s="2249"/>
      <c r="AB53" s="2165" t="s">
        <v>34</v>
      </c>
      <c r="AC53" s="2165"/>
      <c r="AD53" s="2232"/>
      <c r="AE53" s="2232"/>
      <c r="AF53" s="2232"/>
      <c r="AG53" s="2232"/>
      <c r="AH53" s="2232"/>
      <c r="AI53" s="629"/>
    </row>
    <row r="54" spans="1:35" ht="15" customHeight="1" x14ac:dyDescent="0.3">
      <c r="A54" s="617"/>
      <c r="B54" s="23" t="str">
        <f>IF(D54=0,"","(iv)")</f>
        <v>(iv)</v>
      </c>
      <c r="C54" s="23" t="str">
        <f>IFERROR(IF(OR('0.Basic Project Data'!$H$13='Data Analysis'!$C$164,'0.Basic Project Data'!$H$31="No"),Questions!C149,Questions!C30),"FFF")</f>
        <v>FC4</v>
      </c>
      <c r="D54" s="2212" t="str">
        <f>VLOOKUP(C54,Questions!$C$3:$H$170,6,FALSE)</f>
        <v>Does the project require land acquisition?</v>
      </c>
      <c r="E54" s="2212"/>
      <c r="F54" s="2212"/>
      <c r="G54" s="2212"/>
      <c r="H54" s="2212"/>
      <c r="I54" s="2212"/>
      <c r="J54" s="2212"/>
      <c r="K54" s="2212"/>
      <c r="L54" s="2212"/>
      <c r="M54" s="2212"/>
      <c r="N54" s="2212"/>
      <c r="O54" s="2212"/>
      <c r="P54" s="2212"/>
      <c r="Q54" s="2212"/>
      <c r="R54" s="2212"/>
      <c r="S54" s="2212"/>
      <c r="T54" s="2212"/>
      <c r="U54" s="2212"/>
      <c r="V54" s="2212"/>
      <c r="W54" s="2212"/>
      <c r="X54" s="2212"/>
      <c r="Y54" s="2212"/>
      <c r="Z54" s="2212"/>
      <c r="AA54" s="2212"/>
      <c r="AB54" s="2078" t="s">
        <v>39</v>
      </c>
      <c r="AC54" s="2078"/>
      <c r="AD54" s="2232"/>
      <c r="AE54" s="2232"/>
      <c r="AF54" s="2232"/>
      <c r="AG54" s="2232"/>
      <c r="AH54" s="2232"/>
      <c r="AI54" s="629"/>
    </row>
    <row r="55" spans="1:35" ht="15" customHeight="1" x14ac:dyDescent="0.3">
      <c r="A55" s="433"/>
      <c r="B55" s="23" t="str">
        <f>IF(B54="(iv)","(v)","(iii)")</f>
        <v>(v)</v>
      </c>
      <c r="C55" s="23" t="str">
        <f>IFERROR(IF($D$54=0,Questions!C149,IF($AB$54="YES",Questions!C31,Questions!C33)),"FFF")</f>
        <v>FC7</v>
      </c>
      <c r="D55" s="2212" t="str">
        <f>VLOOKUP(C55,Questions!$C$3:$H$170,6,FALSE)</f>
        <v>Will the identified social management strategy, or its related approvals, result in uncertainties or delays that could impede project implementation?</v>
      </c>
      <c r="E55" s="2212"/>
      <c r="F55" s="2212"/>
      <c r="G55" s="2212"/>
      <c r="H55" s="2212"/>
      <c r="I55" s="2212"/>
      <c r="J55" s="2212"/>
      <c r="K55" s="2212"/>
      <c r="L55" s="2212"/>
      <c r="M55" s="2212"/>
      <c r="N55" s="2212"/>
      <c r="O55" s="2212"/>
      <c r="P55" s="2212"/>
      <c r="Q55" s="2212"/>
      <c r="R55" s="2212"/>
      <c r="S55" s="2212"/>
      <c r="T55" s="2212"/>
      <c r="U55" s="2212"/>
      <c r="V55" s="2212"/>
      <c r="W55" s="2212"/>
      <c r="X55" s="2212"/>
      <c r="Y55" s="2212"/>
      <c r="Z55" s="2212"/>
      <c r="AA55" s="2212"/>
      <c r="AB55" s="2078" t="s">
        <v>39</v>
      </c>
      <c r="AC55" s="2078"/>
      <c r="AD55" s="2232"/>
      <c r="AE55" s="2232"/>
      <c r="AF55" s="2232"/>
      <c r="AG55" s="2232"/>
      <c r="AH55" s="2232"/>
      <c r="AI55" s="629"/>
    </row>
    <row r="56" spans="1:35" ht="15" customHeight="1" x14ac:dyDescent="0.3">
      <c r="A56" s="433"/>
      <c r="B56" s="23" t="str">
        <f>IF(B55="(iii)","(iv)","(vi)")</f>
        <v>(vi)</v>
      </c>
      <c r="C56" s="23" t="str">
        <f>IF($AB$54="YES",Questions!C32,Questions!C149)</f>
        <v>FFF</v>
      </c>
      <c r="D56" s="2249">
        <f>VLOOKUP(C56,Questions!$C$3:$H$170,6,FALSE)</f>
        <v>0</v>
      </c>
      <c r="E56" s="2249"/>
      <c r="F56" s="2249"/>
      <c r="G56" s="2249"/>
      <c r="H56" s="2249"/>
      <c r="I56" s="2249"/>
      <c r="J56" s="2249"/>
      <c r="K56" s="2249"/>
      <c r="L56" s="2249"/>
      <c r="M56" s="2249"/>
      <c r="N56" s="2249"/>
      <c r="O56" s="2249"/>
      <c r="P56" s="2249"/>
      <c r="Q56" s="2249"/>
      <c r="R56" s="2249"/>
      <c r="S56" s="2249"/>
      <c r="T56" s="2249"/>
      <c r="U56" s="2249"/>
      <c r="V56" s="2249"/>
      <c r="W56" s="2249"/>
      <c r="X56" s="2249"/>
      <c r="Y56" s="2249"/>
      <c r="Z56" s="2249"/>
      <c r="AA56" s="2249"/>
      <c r="AB56" s="2165" t="s">
        <v>34</v>
      </c>
      <c r="AC56" s="2165"/>
      <c r="AD56" s="2232"/>
      <c r="AE56" s="2232"/>
      <c r="AF56" s="2232"/>
      <c r="AG56" s="2232"/>
      <c r="AH56" s="2232"/>
      <c r="AI56" s="629"/>
    </row>
    <row r="57" spans="1:35" ht="15" customHeight="1" x14ac:dyDescent="0.3">
      <c r="A57" s="433"/>
      <c r="B57" s="23" t="str">
        <f>IF(B56="(vi)","(vii)","(iv)")</f>
        <v>(vii)</v>
      </c>
      <c r="C57" s="23" t="str">
        <f>IF($C$55="FC7",Questions!C149,IF('0.Basic Project Data'!$H$13='Data Analysis'!$C$163,Questions!C149,Questions!C33))</f>
        <v>FFF</v>
      </c>
      <c r="D57" s="2212">
        <f>VLOOKUP(C57,Questions!$C$3:$H$170,6,FALSE)</f>
        <v>0</v>
      </c>
      <c r="E57" s="2212"/>
      <c r="F57" s="2212"/>
      <c r="G57" s="2212"/>
      <c r="H57" s="2212"/>
      <c r="I57" s="2212"/>
      <c r="J57" s="2212"/>
      <c r="K57" s="2212"/>
      <c r="L57" s="2212"/>
      <c r="M57" s="2212"/>
      <c r="N57" s="2212"/>
      <c r="O57" s="2212"/>
      <c r="P57" s="2212"/>
      <c r="Q57" s="2212"/>
      <c r="R57" s="2212"/>
      <c r="S57" s="2212"/>
      <c r="T57" s="2212"/>
      <c r="U57" s="2212"/>
      <c r="V57" s="2212"/>
      <c r="W57" s="2212"/>
      <c r="X57" s="2212"/>
      <c r="Y57" s="2212"/>
      <c r="Z57" s="2212"/>
      <c r="AA57" s="2212"/>
      <c r="AB57" s="2078" t="s">
        <v>39</v>
      </c>
      <c r="AC57" s="2078"/>
      <c r="AD57" s="2232"/>
      <c r="AE57" s="2232"/>
      <c r="AF57" s="2232"/>
      <c r="AG57" s="2232"/>
      <c r="AH57" s="2232"/>
      <c r="AI57" s="629"/>
    </row>
    <row r="58" spans="1:35" ht="15" customHeight="1" x14ac:dyDescent="0.3">
      <c r="B58" s="427"/>
      <c r="C58" s="48"/>
      <c r="F58" s="427"/>
      <c r="G58" s="427"/>
      <c r="H58" s="427"/>
      <c r="I58" s="427"/>
      <c r="J58" s="427"/>
      <c r="K58" s="427"/>
      <c r="L58" s="427"/>
      <c r="M58" s="427"/>
      <c r="N58" s="427"/>
      <c r="O58" s="427"/>
      <c r="P58" s="427"/>
      <c r="Q58" s="427"/>
      <c r="R58" s="427"/>
      <c r="S58" s="427"/>
      <c r="T58" s="427"/>
      <c r="U58" s="427"/>
      <c r="V58" s="427"/>
      <c r="W58" s="427"/>
      <c r="X58" s="427"/>
      <c r="Y58" s="427"/>
      <c r="Z58" s="427"/>
      <c r="AA58" s="427"/>
      <c r="AB58" s="2002"/>
      <c r="AC58" s="2002"/>
      <c r="AD58" s="2257"/>
      <c r="AE58" s="2257"/>
      <c r="AF58" s="2257"/>
      <c r="AG58" s="2257"/>
      <c r="AH58" s="2257"/>
      <c r="AI58" s="629"/>
    </row>
    <row r="59" spans="1:35" ht="15" customHeight="1" x14ac:dyDescent="0.3">
      <c r="A59" s="433"/>
      <c r="B59" s="23">
        <v>4</v>
      </c>
      <c r="C59" s="23"/>
      <c r="D59" s="2244" t="s">
        <v>305</v>
      </c>
      <c r="E59" s="2244"/>
      <c r="F59" s="2244"/>
      <c r="G59" s="2244"/>
      <c r="H59" s="2244"/>
      <c r="I59" s="2244"/>
      <c r="J59" s="2244"/>
      <c r="K59" s="2244"/>
      <c r="L59" s="2244"/>
      <c r="M59" s="2244"/>
      <c r="N59" s="2244"/>
      <c r="O59" s="2244"/>
      <c r="P59" s="2244"/>
      <c r="Q59" s="2244"/>
      <c r="R59" s="2244"/>
      <c r="S59" s="2244"/>
      <c r="T59" s="2244"/>
      <c r="U59" s="2244"/>
      <c r="V59" s="2244"/>
      <c r="W59" s="2244"/>
      <c r="X59" s="2244"/>
      <c r="Y59" s="2244"/>
      <c r="Z59" s="2244"/>
      <c r="AA59" s="2244"/>
      <c r="AB59" s="2248" t="str">
        <f>IF(D60=0,"Not Applicable","")</f>
        <v/>
      </c>
      <c r="AC59" s="2248" t="e">
        <f>IF(#REF!=0,"Not Applicable","")</f>
        <v>#REF!</v>
      </c>
      <c r="AD59" s="2256"/>
      <c r="AE59" s="2256"/>
      <c r="AF59" s="2256"/>
      <c r="AG59" s="2256"/>
      <c r="AH59" s="2256"/>
      <c r="AI59" s="629"/>
    </row>
    <row r="60" spans="1:35" ht="15" customHeight="1" x14ac:dyDescent="0.3">
      <c r="A60" s="433"/>
      <c r="B60" s="23" t="s">
        <v>63</v>
      </c>
      <c r="C60" s="23" t="str">
        <f>IF(ISERROR(ABS('0.Basic Project Data'!H47)&gt;0),Questions!C36,IF(ABS('0.Basic Project Data'!H47)&gt;0,Questions!C35,Questions!C36))</f>
        <v>FD3</v>
      </c>
      <c r="D60" s="2212" t="str">
        <f>VLOOKUP(C60,Questions!$C$3:$H$170,6,FALSE)</f>
        <v>Is the economic rate of return (ERR) likely to be higher than the threshold ERR requirements of the government?</v>
      </c>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078" t="s">
        <v>34</v>
      </c>
      <c r="AC60" s="2078"/>
      <c r="AD60" s="2232"/>
      <c r="AE60" s="2232"/>
      <c r="AF60" s="2232"/>
      <c r="AG60" s="2232"/>
      <c r="AH60" s="2232"/>
      <c r="AI60" s="629"/>
    </row>
    <row r="61" spans="1:35" ht="15" customHeight="1" x14ac:dyDescent="0.3">
      <c r="A61" s="433"/>
      <c r="B61" s="23" t="s">
        <v>64</v>
      </c>
      <c r="C61" s="23" t="str">
        <f>Questions!C37</f>
        <v>FD4</v>
      </c>
      <c r="D61" s="2212" t="str">
        <f>VLOOKUP(C61,Questions!$C$3:$H$170,6,FALSE)</f>
        <v>Will communities within the area of influence of the project be able to share direct or indirect economic benefits from the project?</v>
      </c>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078" t="s">
        <v>34</v>
      </c>
      <c r="AC61" s="2078"/>
      <c r="AD61" s="2003"/>
      <c r="AE61" s="2232"/>
      <c r="AF61" s="2232"/>
      <c r="AG61" s="2232"/>
      <c r="AH61" s="2232"/>
      <c r="AI61" s="629"/>
    </row>
    <row r="62" spans="1:35" ht="15" customHeight="1" x14ac:dyDescent="0.3">
      <c r="B62" s="23" t="s">
        <v>65</v>
      </c>
      <c r="C62" s="23" t="str">
        <f>Questions!C38</f>
        <v>FE1</v>
      </c>
      <c r="D62" s="2212">
        <f>IF('Data Analysis'!E250=1,0,'Data Analysis'!C250)</f>
        <v>0</v>
      </c>
      <c r="E62" s="2212"/>
      <c r="F62" s="2212"/>
      <c r="G62" s="2212"/>
      <c r="H62" s="2212"/>
      <c r="I62" s="2212"/>
      <c r="J62" s="2212"/>
      <c r="K62" s="2212"/>
      <c r="L62" s="2212"/>
      <c r="M62" s="2212"/>
      <c r="N62" s="2212"/>
      <c r="O62" s="2212"/>
      <c r="P62" s="2212"/>
      <c r="Q62" s="2212"/>
      <c r="R62" s="2212"/>
      <c r="S62" s="2212"/>
      <c r="T62" s="2212"/>
      <c r="U62" s="2212"/>
      <c r="V62" s="2212"/>
      <c r="W62" s="2212"/>
      <c r="X62" s="2212"/>
      <c r="Y62" s="2212"/>
      <c r="Z62" s="2212"/>
      <c r="AA62" s="2212"/>
      <c r="AB62" s="2078" t="s">
        <v>79</v>
      </c>
      <c r="AC62" s="2078"/>
      <c r="AD62" s="2003"/>
      <c r="AE62" s="2253"/>
      <c r="AF62" s="2253"/>
      <c r="AG62" s="2253"/>
      <c r="AH62" s="2253"/>
      <c r="AI62" s="629"/>
    </row>
    <row r="63" spans="1:35" ht="15" customHeight="1" x14ac:dyDescent="0.3">
      <c r="B63" s="427"/>
      <c r="C63" s="48"/>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1361"/>
      <c r="AE63" s="1361"/>
      <c r="AF63" s="1361"/>
      <c r="AG63" s="1361"/>
      <c r="AH63" s="1361"/>
      <c r="AI63" s="629"/>
    </row>
    <row r="64" spans="1:35" ht="15" customHeight="1" x14ac:dyDescent="0.3">
      <c r="A64" s="433"/>
      <c r="B64" s="618">
        <v>5</v>
      </c>
      <c r="C64" s="618"/>
      <c r="D64" s="2244" t="s">
        <v>306</v>
      </c>
      <c r="E64" s="2244"/>
      <c r="F64" s="2244"/>
      <c r="G64" s="2244"/>
      <c r="H64" s="2244"/>
      <c r="I64" s="2244"/>
      <c r="J64" s="2244"/>
      <c r="K64" s="2244"/>
      <c r="L64" s="2244"/>
      <c r="M64" s="2244"/>
      <c r="N64" s="2244"/>
      <c r="O64" s="2244"/>
      <c r="P64" s="2244"/>
      <c r="Q64" s="2244"/>
      <c r="R64" s="2244"/>
      <c r="S64" s="2244"/>
      <c r="T64" s="2244"/>
      <c r="U64" s="2244"/>
      <c r="V64" s="2244"/>
      <c r="W64" s="2244"/>
      <c r="X64" s="2244"/>
      <c r="Y64" s="2244"/>
      <c r="Z64" s="2244"/>
      <c r="AA64" s="2244"/>
      <c r="AB64" s="2248" t="str">
        <f>IF(D65=0,"Not Applicable","")</f>
        <v/>
      </c>
      <c r="AC64" s="2248" t="e">
        <f>IF(#REF!=0,"Not Applicable","")</f>
        <v>#REF!</v>
      </c>
      <c r="AD64" s="2252"/>
      <c r="AE64" s="2252"/>
      <c r="AF64" s="2252"/>
      <c r="AG64" s="2252"/>
      <c r="AH64" s="2252"/>
      <c r="AI64" s="629"/>
    </row>
    <row r="65" spans="1:35" ht="27" customHeight="1" x14ac:dyDescent="0.3">
      <c r="A65" s="433"/>
      <c r="B65" s="23" t="s">
        <v>63</v>
      </c>
      <c r="C65" s="23" t="str">
        <f>Questions!W43</f>
        <v>FE1</v>
      </c>
      <c r="D65" s="2212" t="str">
        <f>VLOOKUP(C65,Questions!$C$3:$H$170,6,FALSE)</f>
        <v>Is there a preliminary financial analysis based on assessment of the net present value (NPV) or internal rate of return (IRR) of the project's cash flows?</v>
      </c>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078" t="s">
        <v>34</v>
      </c>
      <c r="AC65" s="2078"/>
      <c r="AD65" s="2232"/>
      <c r="AE65" s="2232"/>
      <c r="AF65" s="2232"/>
      <c r="AG65" s="2232"/>
      <c r="AH65" s="2232"/>
      <c r="AI65" s="629"/>
    </row>
    <row r="66" spans="1:35" ht="24.6" customHeight="1" x14ac:dyDescent="0.3">
      <c r="A66" s="433"/>
      <c r="B66" s="23" t="s">
        <v>64</v>
      </c>
      <c r="C66" s="23" t="str">
        <f>Questions!W44</f>
        <v>FE20</v>
      </c>
      <c r="D66" s="2212" t="str">
        <f>VLOOKUP(C66,Questions!$C$3:$H$170,6,FALSE)</f>
        <v>Are the revenue projections realistic? For example, revenues from user charges are based on user surveys or demand models with realistic assumptions and historical data; AND revenues from availability payments are backed by clear understanding from the counterparty agency or availability/capacity utilization factors based on realistic assumptions and historical data.</v>
      </c>
      <c r="E66" s="2212"/>
      <c r="F66" s="2212"/>
      <c r="G66" s="2212"/>
      <c r="H66" s="2212"/>
      <c r="I66" s="2212"/>
      <c r="J66" s="2212"/>
      <c r="K66" s="2212"/>
      <c r="L66" s="2212"/>
      <c r="M66" s="2212"/>
      <c r="N66" s="2212"/>
      <c r="O66" s="2212"/>
      <c r="P66" s="2212"/>
      <c r="Q66" s="2212"/>
      <c r="R66" s="2212"/>
      <c r="S66" s="2212"/>
      <c r="T66" s="2212"/>
      <c r="U66" s="2212"/>
      <c r="V66" s="2212"/>
      <c r="W66" s="2212"/>
      <c r="X66" s="2212"/>
      <c r="Y66" s="2212"/>
      <c r="Z66" s="2212"/>
      <c r="AA66" s="2212"/>
      <c r="AB66" s="2078" t="s">
        <v>34</v>
      </c>
      <c r="AC66" s="2078"/>
      <c r="AD66" s="2232"/>
      <c r="AE66" s="2232"/>
      <c r="AF66" s="2232"/>
      <c r="AG66" s="2232"/>
      <c r="AH66" s="2232"/>
      <c r="AI66" s="629"/>
    </row>
    <row r="67" spans="1:35" ht="21.75" customHeight="1" x14ac:dyDescent="0.3">
      <c r="A67" s="433"/>
      <c r="B67" s="23" t="s">
        <v>65</v>
      </c>
      <c r="C67" s="23" t="str">
        <f>Questions!W45</f>
        <v>FE21</v>
      </c>
      <c r="D67" s="2212" t="str">
        <f>VLOOKUP(C67,Questions!$C$3:$H$170,6,FALSE)</f>
        <v>Are the financing assumptions comparable to similar projects? Such as the debt-to-equity ratio, interest rate and tenure of debt, and cost of equity.</v>
      </c>
      <c r="E67" s="2212"/>
      <c r="F67" s="2212"/>
      <c r="G67" s="2212"/>
      <c r="H67" s="2212"/>
      <c r="I67" s="2212"/>
      <c r="J67" s="2212"/>
      <c r="K67" s="2212"/>
      <c r="L67" s="2212"/>
      <c r="M67" s="2212"/>
      <c r="N67" s="2212"/>
      <c r="O67" s="2212"/>
      <c r="P67" s="2212"/>
      <c r="Q67" s="2212"/>
      <c r="R67" s="2212"/>
      <c r="S67" s="2212"/>
      <c r="T67" s="2212"/>
      <c r="U67" s="2212"/>
      <c r="V67" s="2212"/>
      <c r="W67" s="2212"/>
      <c r="X67" s="2212"/>
      <c r="Y67" s="2212"/>
      <c r="Z67" s="2212"/>
      <c r="AA67" s="2212"/>
      <c r="AB67" s="2078" t="s">
        <v>34</v>
      </c>
      <c r="AC67" s="2078"/>
      <c r="AD67" s="2232"/>
      <c r="AE67" s="2232"/>
      <c r="AF67" s="2232"/>
      <c r="AG67" s="2232"/>
      <c r="AH67" s="2232"/>
      <c r="AI67" s="629"/>
    </row>
    <row r="68" spans="1:35" ht="15" customHeight="1" x14ac:dyDescent="0.3">
      <c r="A68" s="433"/>
      <c r="B68" s="23" t="s">
        <v>66</v>
      </c>
      <c r="C68" s="23" t="str">
        <f>Questions!W46</f>
        <v>FE13</v>
      </c>
      <c r="D68" s="2212" t="str">
        <f>VLOOKUP(C68,Questions!$C$3:$H$170,6,FALSE)</f>
        <v>Is the project likely to be financially viable?</v>
      </c>
      <c r="E68" s="2212"/>
      <c r="F68" s="2212"/>
      <c r="G68" s="2212"/>
      <c r="H68" s="2212"/>
      <c r="I68" s="2212"/>
      <c r="J68" s="2212"/>
      <c r="K68" s="2212"/>
      <c r="L68" s="2212"/>
      <c r="M68" s="2212"/>
      <c r="N68" s="2212"/>
      <c r="O68" s="2212"/>
      <c r="P68" s="2212"/>
      <c r="Q68" s="2212"/>
      <c r="R68" s="2212"/>
      <c r="S68" s="2212"/>
      <c r="T68" s="2212"/>
      <c r="U68" s="2212"/>
      <c r="V68" s="2212"/>
      <c r="W68" s="2212"/>
      <c r="X68" s="2212"/>
      <c r="Y68" s="2212"/>
      <c r="Z68" s="2212"/>
      <c r="AA68" s="2212"/>
      <c r="AB68" s="2078" t="s">
        <v>34</v>
      </c>
      <c r="AC68" s="2078"/>
      <c r="AD68" s="2232"/>
      <c r="AE68" s="2232"/>
      <c r="AF68" s="2232"/>
      <c r="AG68" s="2232"/>
      <c r="AH68" s="2232"/>
      <c r="AI68" s="629"/>
    </row>
    <row r="69" spans="1:35" ht="15" customHeight="1" x14ac:dyDescent="0.3">
      <c r="A69" s="433"/>
      <c r="B69" s="23" t="s">
        <v>69</v>
      </c>
      <c r="C69" s="23" t="str">
        <f ca="1">Questions!W47</f>
        <v>FE14</v>
      </c>
      <c r="D69" s="2212" t="str">
        <f ca="1">VLOOKUP(C69,Questions!$C$3:$H$170,6,FALSE)</f>
        <v>Is the project IRR (post-tax) greater than the threshold rate?</v>
      </c>
      <c r="E69" s="2212"/>
      <c r="F69" s="2212"/>
      <c r="G69" s="2212"/>
      <c r="H69" s="2212"/>
      <c r="I69" s="2212"/>
      <c r="J69" s="2212"/>
      <c r="K69" s="2212"/>
      <c r="L69" s="2212"/>
      <c r="M69" s="2212"/>
      <c r="N69" s="2212"/>
      <c r="O69" s="2212"/>
      <c r="P69" s="2212"/>
      <c r="Q69" s="2212"/>
      <c r="R69" s="2212"/>
      <c r="S69" s="2212"/>
      <c r="T69" s="2212"/>
      <c r="U69" s="2212"/>
      <c r="V69" s="2212"/>
      <c r="W69" s="2212"/>
      <c r="X69" s="2212"/>
      <c r="Y69" s="2212"/>
      <c r="Z69" s="2212"/>
      <c r="AA69" s="2212"/>
      <c r="AB69" s="2078" t="s">
        <v>34</v>
      </c>
      <c r="AC69" s="2078"/>
      <c r="AD69" s="2232"/>
      <c r="AE69" s="2232"/>
      <c r="AF69" s="2232"/>
      <c r="AG69" s="2232"/>
      <c r="AH69" s="2232"/>
      <c r="AI69" s="629"/>
    </row>
    <row r="70" spans="1:35" ht="15" customHeight="1" x14ac:dyDescent="0.3">
      <c r="A70" s="433"/>
      <c r="B70" s="23" t="s">
        <v>95</v>
      </c>
      <c r="C70" s="23" t="str">
        <f ca="1">Questions!W48</f>
        <v>FE16</v>
      </c>
      <c r="D70" s="2212" t="str">
        <f ca="1">VLOOKUP(C70,Questions!$C$3:$H$170,6,FALSE)</f>
        <v>Will the project IRR (post-tax) remain greater than the threshold rate the stress (or low) case scenario?</v>
      </c>
      <c r="E70" s="2212"/>
      <c r="F70" s="2212"/>
      <c r="G70" s="2212"/>
      <c r="H70" s="2212"/>
      <c r="I70" s="2212"/>
      <c r="J70" s="2212"/>
      <c r="K70" s="2212"/>
      <c r="L70" s="2212"/>
      <c r="M70" s="2212"/>
      <c r="N70" s="2212"/>
      <c r="O70" s="2212"/>
      <c r="P70" s="2212"/>
      <c r="Q70" s="2212"/>
      <c r="R70" s="2212"/>
      <c r="S70" s="2212"/>
      <c r="T70" s="2212"/>
      <c r="U70" s="2212"/>
      <c r="V70" s="2212"/>
      <c r="W70" s="2212"/>
      <c r="X70" s="2212"/>
      <c r="Y70" s="2212"/>
      <c r="Z70" s="2212"/>
      <c r="AA70" s="2212"/>
      <c r="AB70" s="2078" t="s">
        <v>34</v>
      </c>
      <c r="AC70" s="2078"/>
      <c r="AD70" s="2232"/>
      <c r="AE70" s="2232"/>
      <c r="AF70" s="2232"/>
      <c r="AG70" s="2232"/>
      <c r="AH70" s="2232"/>
      <c r="AI70" s="629"/>
    </row>
    <row r="71" spans="1:35" ht="15" customHeight="1" x14ac:dyDescent="0.3">
      <c r="A71" s="433"/>
      <c r="B71" s="23" t="s">
        <v>96</v>
      </c>
      <c r="C71" s="23" t="str">
        <f ca="1">Questions!W49</f>
        <v>FE17</v>
      </c>
      <c r="D71" s="2212" t="str">
        <f ca="1">VLOOKUP(C71,Questions!$C$3:$H$170,6,FALSE)</f>
        <v>Is the project's minimum DSCR greater than the threshold ratio for the duration of the loan?</v>
      </c>
      <c r="E71" s="2212"/>
      <c r="F71" s="2212"/>
      <c r="G71" s="2212"/>
      <c r="H71" s="2212"/>
      <c r="I71" s="2212"/>
      <c r="J71" s="2212"/>
      <c r="K71" s="2212"/>
      <c r="L71" s="2212"/>
      <c r="M71" s="2212"/>
      <c r="N71" s="2212"/>
      <c r="O71" s="2212"/>
      <c r="P71" s="2212"/>
      <c r="Q71" s="2212"/>
      <c r="R71" s="2212"/>
      <c r="S71" s="2212"/>
      <c r="T71" s="2212"/>
      <c r="U71" s="2212"/>
      <c r="V71" s="2212"/>
      <c r="W71" s="2212"/>
      <c r="X71" s="2212"/>
      <c r="Y71" s="2212"/>
      <c r="Z71" s="2212"/>
      <c r="AA71" s="2212"/>
      <c r="AB71" s="2078" t="s">
        <v>34</v>
      </c>
      <c r="AC71" s="2078"/>
      <c r="AD71" s="2232"/>
      <c r="AE71" s="2232"/>
      <c r="AF71" s="2232"/>
      <c r="AG71" s="2232"/>
      <c r="AH71" s="2232"/>
      <c r="AI71" s="629"/>
    </row>
    <row r="72" spans="1:35" ht="15" customHeight="1" x14ac:dyDescent="0.3">
      <c r="A72" s="433"/>
      <c r="B72" s="23" t="s">
        <v>283</v>
      </c>
      <c r="C72" s="23" t="str">
        <f ca="1">Questions!W50</f>
        <v>FE19</v>
      </c>
      <c r="D72" s="2212" t="str">
        <f ca="1">VLOOKUP(C72,Questions!$C$3:$H$170,6,FALSE)</f>
        <v>Will the project's minimum DSCR remain greater than the threshold ratio for the duration of the loan, in the stress (or low) case scenario?</v>
      </c>
      <c r="E72" s="2212"/>
      <c r="F72" s="2212"/>
      <c r="G72" s="2212"/>
      <c r="H72" s="2212"/>
      <c r="I72" s="2212"/>
      <c r="J72" s="2212"/>
      <c r="K72" s="2212"/>
      <c r="L72" s="2212"/>
      <c r="M72" s="2212"/>
      <c r="N72" s="2212"/>
      <c r="O72" s="2212"/>
      <c r="P72" s="2212"/>
      <c r="Q72" s="2212"/>
      <c r="R72" s="2212"/>
      <c r="S72" s="2212"/>
      <c r="T72" s="2212"/>
      <c r="U72" s="2212"/>
      <c r="V72" s="2212"/>
      <c r="W72" s="2212"/>
      <c r="X72" s="2212"/>
      <c r="Y72" s="2212"/>
      <c r="Z72" s="2212"/>
      <c r="AA72" s="2212"/>
      <c r="AB72" s="2078" t="s">
        <v>34</v>
      </c>
      <c r="AC72" s="2078"/>
      <c r="AD72" s="2232"/>
      <c r="AE72" s="2232"/>
      <c r="AF72" s="2232"/>
      <c r="AG72" s="2232"/>
      <c r="AH72" s="2232"/>
      <c r="AI72" s="629"/>
    </row>
    <row r="73" spans="1:35" ht="15" customHeight="1" x14ac:dyDescent="0.3">
      <c r="A73" s="433"/>
      <c r="B73" s="23" t="s">
        <v>284</v>
      </c>
      <c r="C73" s="23" t="str">
        <f ca="1">Questions!W51</f>
        <v>FFF</v>
      </c>
      <c r="D73" s="2212">
        <f ca="1">VLOOKUP(C73,Questions!$C$3:$H$170,6,FALSE)</f>
        <v>0</v>
      </c>
      <c r="E73" s="2212"/>
      <c r="F73" s="2212"/>
      <c r="G73" s="2212"/>
      <c r="H73" s="2212"/>
      <c r="I73" s="2212"/>
      <c r="J73" s="2212"/>
      <c r="K73" s="2212"/>
      <c r="L73" s="2212"/>
      <c r="M73" s="2212"/>
      <c r="N73" s="2212"/>
      <c r="O73" s="2212"/>
      <c r="P73" s="2212"/>
      <c r="Q73" s="2212"/>
      <c r="R73" s="2212"/>
      <c r="S73" s="2212"/>
      <c r="T73" s="2212"/>
      <c r="U73" s="2212"/>
      <c r="V73" s="2212"/>
      <c r="W73" s="2212"/>
      <c r="X73" s="2212"/>
      <c r="Y73" s="2212"/>
      <c r="Z73" s="2212"/>
      <c r="AA73" s="2212"/>
      <c r="AB73" s="2078" t="s">
        <v>34</v>
      </c>
      <c r="AC73" s="2078"/>
      <c r="AD73" s="2232"/>
      <c r="AE73" s="2232"/>
      <c r="AF73" s="2232"/>
      <c r="AG73" s="2232"/>
      <c r="AH73" s="2232"/>
      <c r="AI73" s="629"/>
    </row>
    <row r="74" spans="1:35" ht="15" customHeight="1" x14ac:dyDescent="0.3">
      <c r="B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2002"/>
      <c r="AC74" s="2002"/>
      <c r="AD74" s="2253"/>
      <c r="AE74" s="2253"/>
      <c r="AF74" s="2253"/>
      <c r="AG74" s="2253"/>
      <c r="AH74" s="2253"/>
      <c r="AI74" s="629"/>
    </row>
    <row r="75" spans="1:35" ht="15" customHeight="1" x14ac:dyDescent="0.3">
      <c r="A75" s="433"/>
      <c r="B75" s="618">
        <v>6</v>
      </c>
      <c r="C75" s="618"/>
      <c r="D75" s="2244" t="s">
        <v>307</v>
      </c>
      <c r="E75" s="2244"/>
      <c r="F75" s="2244"/>
      <c r="G75" s="2244"/>
      <c r="H75" s="2244"/>
      <c r="I75" s="2244"/>
      <c r="J75" s="2244"/>
      <c r="K75" s="2244"/>
      <c r="L75" s="2244"/>
      <c r="M75" s="2244"/>
      <c r="N75" s="2244"/>
      <c r="O75" s="2244"/>
      <c r="P75" s="2244"/>
      <c r="Q75" s="2244"/>
      <c r="R75" s="2244"/>
      <c r="S75" s="2244"/>
      <c r="T75" s="2244"/>
      <c r="U75" s="2244"/>
      <c r="V75" s="2244"/>
      <c r="W75" s="2244"/>
      <c r="X75" s="2244"/>
      <c r="Y75" s="2244"/>
      <c r="Z75" s="2244"/>
      <c r="AA75" s="2244"/>
      <c r="AB75" s="2248" t="str">
        <f>IF(D77=0,"Not Applicable","")</f>
        <v/>
      </c>
      <c r="AC75" s="2248" t="str">
        <f>IF(E77=0,"Not Applicable","")</f>
        <v>Not Applicable</v>
      </c>
      <c r="AD75" s="2254"/>
      <c r="AE75" s="2254"/>
      <c r="AF75" s="2254"/>
      <c r="AG75" s="2254"/>
      <c r="AH75" s="2254"/>
      <c r="AI75" s="629"/>
    </row>
    <row r="76" spans="1:35" ht="15" customHeight="1" x14ac:dyDescent="0.3">
      <c r="A76" s="433"/>
      <c r="B76" s="23">
        <f>IF(D76=0,0,"(i)")</f>
        <v>0</v>
      </c>
      <c r="C76" s="23" t="str">
        <f>Questions!P67</f>
        <v>Hybrid Payments</v>
      </c>
      <c r="D76" s="2212">
        <f>IF('Data Analysis'!E251=1,0,'Data Analysis'!C251)</f>
        <v>0</v>
      </c>
      <c r="E76" s="2212"/>
      <c r="F76" s="2212"/>
      <c r="G76" s="2212"/>
      <c r="H76" s="2212"/>
      <c r="I76" s="2212"/>
      <c r="J76" s="2212"/>
      <c r="K76" s="2212"/>
      <c r="L76" s="2212"/>
      <c r="M76" s="2212"/>
      <c r="N76" s="2212"/>
      <c r="O76" s="2212"/>
      <c r="P76" s="2212"/>
      <c r="Q76" s="2212"/>
      <c r="R76" s="2212"/>
      <c r="S76" s="2212"/>
      <c r="T76" s="2212"/>
      <c r="U76" s="2212"/>
      <c r="V76" s="2212"/>
      <c r="W76" s="2212"/>
      <c r="X76" s="2212"/>
      <c r="Y76" s="2212"/>
      <c r="Z76" s="2212"/>
      <c r="AA76" s="2212"/>
      <c r="AB76" s="2255" t="s">
        <v>34</v>
      </c>
      <c r="AC76" s="2255"/>
      <c r="AD76" s="2256"/>
      <c r="AE76" s="2256"/>
      <c r="AF76" s="2256"/>
      <c r="AG76" s="2256"/>
      <c r="AH76" s="2256"/>
      <c r="AI76" s="629"/>
    </row>
    <row r="77" spans="1:35" ht="20.100000000000001" customHeight="1" x14ac:dyDescent="0.3">
      <c r="A77" s="433"/>
      <c r="B77" s="23" t="str">
        <f>IF(B76="(i)","(ii)","(i)")</f>
        <v>(i)</v>
      </c>
      <c r="C77" s="23" t="str">
        <f>Questions!P68</f>
        <v>FF3</v>
      </c>
      <c r="D77" s="2212" t="str">
        <f>VLOOKUP(C77,Questions!$C$3:$H$170,6,FALSE)</f>
        <v>Is there a framework that provides adequate basis for establishing the hybrid revenue mechanism for the PPP project? This could include, a tariff-setting methodology and periodic review mechanism.</v>
      </c>
      <c r="E77" s="2212"/>
      <c r="F77" s="2212"/>
      <c r="G77" s="2212"/>
      <c r="H77" s="2212"/>
      <c r="I77" s="2212"/>
      <c r="J77" s="2212"/>
      <c r="K77" s="2212"/>
      <c r="L77" s="2212"/>
      <c r="M77" s="2212"/>
      <c r="N77" s="2212"/>
      <c r="O77" s="2212"/>
      <c r="P77" s="2212"/>
      <c r="Q77" s="2212"/>
      <c r="R77" s="2212"/>
      <c r="S77" s="2212"/>
      <c r="T77" s="2212"/>
      <c r="U77" s="2212"/>
      <c r="V77" s="2212"/>
      <c r="W77" s="2212"/>
      <c r="X77" s="2212"/>
      <c r="Y77" s="2212"/>
      <c r="Z77" s="2212"/>
      <c r="AA77" s="2212"/>
      <c r="AB77" s="2078" t="s">
        <v>34</v>
      </c>
      <c r="AC77" s="2078"/>
      <c r="AD77" s="2252"/>
      <c r="AE77" s="2252"/>
      <c r="AF77" s="2252"/>
      <c r="AG77" s="2252"/>
      <c r="AH77" s="2252"/>
      <c r="AI77" s="629"/>
    </row>
    <row r="78" spans="1:35" ht="19.05" customHeight="1" x14ac:dyDescent="0.3">
      <c r="A78" s="433"/>
      <c r="B78" s="23" t="str">
        <f>IF(B77="(ii)","(iii)","(ii)")</f>
        <v>(ii)</v>
      </c>
      <c r="C78" s="23" t="str">
        <f>Questions!P69</f>
        <v>FF4</v>
      </c>
      <c r="D78" s="2212" t="str">
        <f>VLOOKUP(C78,Questions!$C$3:$H$170,6,FALSE)</f>
        <v>Does the law confer enforceable rights such as, rights of substitution, step-in rights or other applicable remedies that enable the lenders to recover their outstanding loan amounts?</v>
      </c>
      <c r="E78" s="2212"/>
      <c r="F78" s="2212"/>
      <c r="G78" s="2212"/>
      <c r="H78" s="2212"/>
      <c r="I78" s="2212"/>
      <c r="J78" s="2212"/>
      <c r="K78" s="2212"/>
      <c r="L78" s="2212"/>
      <c r="M78" s="2212"/>
      <c r="N78" s="2212"/>
      <c r="O78" s="2212"/>
      <c r="P78" s="2212"/>
      <c r="Q78" s="2212"/>
      <c r="R78" s="2212"/>
      <c r="S78" s="2212"/>
      <c r="T78" s="2212"/>
      <c r="U78" s="2212"/>
      <c r="V78" s="2212"/>
      <c r="W78" s="2212"/>
      <c r="X78" s="2212"/>
      <c r="Y78" s="2212"/>
      <c r="Z78" s="2212"/>
      <c r="AA78" s="2212"/>
      <c r="AB78" s="2078" t="s">
        <v>34</v>
      </c>
      <c r="AC78" s="2078"/>
      <c r="AD78" s="2232"/>
      <c r="AE78" s="2232"/>
      <c r="AF78" s="2232"/>
      <c r="AG78" s="2232"/>
      <c r="AH78" s="2232"/>
      <c r="AI78" s="629"/>
    </row>
    <row r="79" spans="1:35" ht="15" customHeight="1" x14ac:dyDescent="0.3">
      <c r="A79" s="433"/>
      <c r="B79" s="23" t="str">
        <f>IF(B78="(iii)","(iv)","(iii)")</f>
        <v>(iii)</v>
      </c>
      <c r="C79" s="23" t="str">
        <f>Questions!P70</f>
        <v>FF5</v>
      </c>
      <c r="D79" s="2212" t="str">
        <f>VLOOKUP(C79,Questions!$C$3:$H$170,6,FALSE)</f>
        <v>Are there any restrictions on foreign exchange or capital movements that may limit the project’s access to finance?</v>
      </c>
      <c r="E79" s="2212"/>
      <c r="F79" s="2212"/>
      <c r="G79" s="2212"/>
      <c r="H79" s="2212"/>
      <c r="I79" s="2212"/>
      <c r="J79" s="2212"/>
      <c r="K79" s="2212"/>
      <c r="L79" s="2212"/>
      <c r="M79" s="2212"/>
      <c r="N79" s="2212"/>
      <c r="O79" s="2212"/>
      <c r="P79" s="2212"/>
      <c r="Q79" s="2212"/>
      <c r="R79" s="2212"/>
      <c r="S79" s="2212"/>
      <c r="T79" s="2212"/>
      <c r="U79" s="2212"/>
      <c r="V79" s="2212"/>
      <c r="W79" s="2212"/>
      <c r="X79" s="2212"/>
      <c r="Y79" s="2212"/>
      <c r="Z79" s="2212"/>
      <c r="AA79" s="2212"/>
      <c r="AB79" s="2078" t="s">
        <v>39</v>
      </c>
      <c r="AC79" s="2078"/>
      <c r="AD79" s="2232"/>
      <c r="AE79" s="2232"/>
      <c r="AF79" s="2232"/>
      <c r="AG79" s="2232"/>
      <c r="AH79" s="2232"/>
      <c r="AI79" s="629"/>
    </row>
    <row r="80" spans="1:35" ht="15" customHeight="1" x14ac:dyDescent="0.3">
      <c r="A80" s="433"/>
      <c r="B80" s="23" t="str">
        <f>IF(B79="(iv)","(v)","(iv)")</f>
        <v>(iv)</v>
      </c>
      <c r="C80" s="23" t="str">
        <f>Questions!P71</f>
        <v>FF6</v>
      </c>
      <c r="D80" s="2249" t="str">
        <f>VLOOKUP(C80,Questions!$C$3:$H$170,6,FALSE)</f>
        <v>If applicable, Is there a plan to address legal barriers through appropriate executive action or legislative reforms?</v>
      </c>
      <c r="E80" s="2249"/>
      <c r="F80" s="2249"/>
      <c r="G80" s="2249"/>
      <c r="H80" s="2249"/>
      <c r="I80" s="2249"/>
      <c r="J80" s="2249"/>
      <c r="K80" s="2249"/>
      <c r="L80" s="2249"/>
      <c r="M80" s="2249"/>
      <c r="N80" s="2249"/>
      <c r="O80" s="2249"/>
      <c r="P80" s="2249"/>
      <c r="Q80" s="2249"/>
      <c r="R80" s="2249"/>
      <c r="S80" s="2249"/>
      <c r="T80" s="2249"/>
      <c r="U80" s="2249"/>
      <c r="V80" s="2249"/>
      <c r="W80" s="2249"/>
      <c r="X80" s="2249"/>
      <c r="Y80" s="2249"/>
      <c r="Z80" s="2249"/>
      <c r="AA80" s="2249"/>
      <c r="AB80" s="2165" t="s">
        <v>34</v>
      </c>
      <c r="AC80" s="2165"/>
      <c r="AD80" s="2232"/>
      <c r="AE80" s="2232"/>
      <c r="AF80" s="2232"/>
      <c r="AG80" s="2232"/>
      <c r="AH80" s="2232"/>
      <c r="AI80" s="629"/>
    </row>
    <row r="81" spans="1:50" ht="15.6" hidden="1" x14ac:dyDescent="0.3">
      <c r="A81" s="433"/>
      <c r="B81" s="1082" t="s">
        <v>69</v>
      </c>
      <c r="C81" s="23"/>
      <c r="D81" s="2212"/>
      <c r="E81" s="2212"/>
      <c r="F81" s="2212"/>
      <c r="G81" s="2212"/>
      <c r="H81" s="2212"/>
      <c r="I81" s="2212"/>
      <c r="J81" s="2212"/>
      <c r="K81" s="2212"/>
      <c r="L81" s="2212"/>
      <c r="M81" s="2212"/>
      <c r="N81" s="2212"/>
      <c r="O81" s="2212"/>
      <c r="P81" s="2212"/>
      <c r="Q81" s="2212"/>
      <c r="R81" s="2212"/>
      <c r="S81" s="2212"/>
      <c r="T81" s="2212"/>
      <c r="U81" s="2212"/>
      <c r="V81" s="2212"/>
      <c r="W81" s="2212"/>
      <c r="X81" s="2212"/>
      <c r="Y81" s="2212"/>
      <c r="Z81" s="2212"/>
      <c r="AA81" s="2212"/>
      <c r="AB81" s="2078" t="s">
        <v>34</v>
      </c>
      <c r="AC81" s="2078"/>
      <c r="AD81" s="2232"/>
      <c r="AE81" s="2232"/>
      <c r="AF81" s="2232"/>
      <c r="AG81" s="2232"/>
      <c r="AH81" s="2232"/>
      <c r="AI81" s="629"/>
    </row>
    <row r="82" spans="1:50" ht="15.6" hidden="1" x14ac:dyDescent="0.3">
      <c r="A82" s="433"/>
      <c r="B82" s="1082" t="s">
        <v>95</v>
      </c>
      <c r="C82" s="23"/>
      <c r="D82" s="2212"/>
      <c r="E82" s="2212"/>
      <c r="F82" s="2212"/>
      <c r="G82" s="2212"/>
      <c r="H82" s="2212"/>
      <c r="I82" s="2212"/>
      <c r="J82" s="2212"/>
      <c r="K82" s="2212"/>
      <c r="L82" s="2212"/>
      <c r="M82" s="2212"/>
      <c r="N82" s="2212"/>
      <c r="O82" s="2212"/>
      <c r="P82" s="2212"/>
      <c r="Q82" s="2212"/>
      <c r="R82" s="2212"/>
      <c r="S82" s="2212"/>
      <c r="T82" s="2212"/>
      <c r="U82" s="2212"/>
      <c r="V82" s="2212"/>
      <c r="W82" s="2212"/>
      <c r="X82" s="2212"/>
      <c r="Y82" s="2212"/>
      <c r="Z82" s="2212"/>
      <c r="AA82" s="2212"/>
      <c r="AB82" s="2078" t="s">
        <v>34</v>
      </c>
      <c r="AC82" s="2078"/>
      <c r="AD82" s="2232"/>
      <c r="AE82" s="2232"/>
      <c r="AF82" s="2232"/>
      <c r="AG82" s="2232"/>
      <c r="AH82" s="2232"/>
      <c r="AI82" s="629"/>
    </row>
    <row r="83" spans="1:50" ht="15.6" hidden="1" x14ac:dyDescent="0.3">
      <c r="A83" s="433"/>
      <c r="B83" s="1082" t="s">
        <v>96</v>
      </c>
      <c r="C83" s="23"/>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078" t="s">
        <v>34</v>
      </c>
      <c r="AC83" s="2078"/>
      <c r="AD83" s="2232"/>
      <c r="AE83" s="2232"/>
      <c r="AF83" s="2232"/>
      <c r="AG83" s="2232"/>
      <c r="AH83" s="2232"/>
      <c r="AI83" s="629"/>
    </row>
    <row r="84" spans="1:50" ht="15.6" hidden="1" x14ac:dyDescent="0.3">
      <c r="A84" s="433"/>
      <c r="B84" s="1082" t="s">
        <v>283</v>
      </c>
      <c r="C84" s="23"/>
      <c r="D84" s="2212"/>
      <c r="E84" s="2212"/>
      <c r="F84" s="2212"/>
      <c r="G84" s="2212"/>
      <c r="H84" s="2212"/>
      <c r="I84" s="2212"/>
      <c r="J84" s="2212"/>
      <c r="K84" s="2212"/>
      <c r="L84" s="2212"/>
      <c r="M84" s="2212"/>
      <c r="N84" s="2212"/>
      <c r="O84" s="2212"/>
      <c r="P84" s="2212"/>
      <c r="Q84" s="2212"/>
      <c r="R84" s="2212"/>
      <c r="S84" s="2212"/>
      <c r="T84" s="2212"/>
      <c r="U84" s="2212"/>
      <c r="V84" s="2212"/>
      <c r="W84" s="2212"/>
      <c r="X84" s="2212"/>
      <c r="Y84" s="2212"/>
      <c r="Z84" s="2212"/>
      <c r="AA84" s="2212"/>
      <c r="AB84" s="2078" t="s">
        <v>39</v>
      </c>
      <c r="AC84" s="2078"/>
      <c r="AD84" s="2232"/>
      <c r="AE84" s="2232"/>
      <c r="AF84" s="2232"/>
      <c r="AG84" s="2232"/>
      <c r="AH84" s="2232"/>
      <c r="AI84" s="629"/>
    </row>
    <row r="85" spans="1:50" hidden="1" x14ac:dyDescent="0.3">
      <c r="B85" s="1090"/>
      <c r="C85" s="430"/>
      <c r="D85" s="430"/>
      <c r="E85" s="430"/>
      <c r="AB85" s="2231"/>
      <c r="AC85" s="2231"/>
      <c r="AD85" s="1994"/>
      <c r="AE85" s="1994"/>
      <c r="AF85" s="2004"/>
      <c r="AG85" s="1994"/>
      <c r="AH85" s="1994"/>
      <c r="AI85" s="629"/>
    </row>
    <row r="86" spans="1:50" x14ac:dyDescent="0.3">
      <c r="AB86" s="1994"/>
      <c r="AC86" s="1994"/>
      <c r="AD86" s="1994"/>
      <c r="AE86" s="1994"/>
      <c r="AF86" s="2004"/>
      <c r="AG86" s="1994"/>
      <c r="AH86" s="1994"/>
      <c r="AI86" s="629"/>
    </row>
    <row r="87" spans="1:50" ht="7.5" customHeight="1" x14ac:dyDescent="0.3">
      <c r="A87" s="629"/>
      <c r="B87" s="1091"/>
      <c r="C87" s="629"/>
      <c r="D87" s="629"/>
      <c r="E87" s="629"/>
      <c r="F87" s="630"/>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1"/>
      <c r="AG87" s="630"/>
      <c r="AH87" s="630"/>
      <c r="AI87" s="629"/>
    </row>
    <row r="91" spans="1:50" x14ac:dyDescent="0.3">
      <c r="AW91" s="619"/>
      <c r="AX91" s="619"/>
    </row>
    <row r="92" spans="1:50" ht="51" customHeight="1" thickBot="1" x14ac:dyDescent="0.35">
      <c r="AW92" s="620"/>
      <c r="AX92" s="621"/>
    </row>
    <row r="93" spans="1:50" ht="18.600000000000001" thickBot="1" x14ac:dyDescent="0.35">
      <c r="AW93" s="2210" t="s">
        <v>444</v>
      </c>
      <c r="AX93" s="2211"/>
    </row>
    <row r="94" spans="1:50" ht="18.75" customHeight="1" x14ac:dyDescent="0.3">
      <c r="AW94" s="2215" t="str">
        <f>D33</f>
        <v>Technical Prefeasibility</v>
      </c>
      <c r="AX94" s="2216"/>
    </row>
    <row r="95" spans="1:50" x14ac:dyDescent="0.3">
      <c r="AW95" s="2217" t="s">
        <v>886</v>
      </c>
      <c r="AX95" s="2218"/>
    </row>
    <row r="96" spans="1:50" ht="29.25" customHeight="1" x14ac:dyDescent="0.3">
      <c r="AW96" s="2217"/>
      <c r="AX96" s="2218"/>
    </row>
    <row r="97" spans="49:50" ht="29.25" customHeight="1" x14ac:dyDescent="0.3">
      <c r="AW97" s="2217"/>
      <c r="AX97" s="2218"/>
    </row>
    <row r="98" spans="49:50" ht="29.25" customHeight="1" x14ac:dyDescent="0.3">
      <c r="AW98" s="2217"/>
      <c r="AX98" s="2218"/>
    </row>
    <row r="99" spans="49:50" ht="29.25" customHeight="1" x14ac:dyDescent="0.3">
      <c r="AW99" s="2217"/>
      <c r="AX99" s="2218"/>
    </row>
    <row r="100" spans="49:50" ht="29.25" customHeight="1" x14ac:dyDescent="0.3">
      <c r="AW100" s="2217"/>
      <c r="AX100" s="2218"/>
    </row>
    <row r="101" spans="49:50" ht="29.25" customHeight="1" x14ac:dyDescent="0.3">
      <c r="AW101" s="2217"/>
      <c r="AX101" s="2218"/>
    </row>
    <row r="102" spans="49:50" ht="174.75" customHeight="1" thickBot="1" x14ac:dyDescent="0.35">
      <c r="AW102" s="2219"/>
      <c r="AX102" s="2220"/>
    </row>
    <row r="103" spans="49:50" ht="26.25" customHeight="1" x14ac:dyDescent="0.3">
      <c r="AW103" s="2221" t="s">
        <v>571</v>
      </c>
      <c r="AX103" s="2222"/>
    </row>
    <row r="104" spans="49:50" ht="18.600000000000001" customHeight="1" x14ac:dyDescent="0.3">
      <c r="AW104" s="2149" t="s">
        <v>887</v>
      </c>
      <c r="AX104" s="2150"/>
    </row>
    <row r="105" spans="49:50" ht="52.5" customHeight="1" x14ac:dyDescent="0.3">
      <c r="AW105" s="2149"/>
      <c r="AX105" s="2150"/>
    </row>
    <row r="106" spans="49:50" ht="49.5" customHeight="1" x14ac:dyDescent="0.3">
      <c r="AW106" s="2149"/>
      <c r="AX106" s="2150"/>
    </row>
    <row r="107" spans="49:50" ht="104.25" customHeight="1" x14ac:dyDescent="0.3">
      <c r="AW107" s="2149"/>
      <c r="AX107" s="2150"/>
    </row>
    <row r="108" spans="49:50" ht="20.55" customHeight="1" x14ac:dyDescent="0.3">
      <c r="AW108" s="2205" t="s">
        <v>640</v>
      </c>
      <c r="AX108" s="2206"/>
    </row>
    <row r="109" spans="49:50" ht="234" customHeight="1" x14ac:dyDescent="0.3">
      <c r="AW109" s="2207" t="s">
        <v>888</v>
      </c>
      <c r="AX109" s="2150"/>
    </row>
    <row r="110" spans="49:50" ht="205.5" customHeight="1" x14ac:dyDescent="0.3">
      <c r="AW110" s="2149" t="s">
        <v>889</v>
      </c>
      <c r="AX110" s="2150"/>
    </row>
    <row r="111" spans="49:50" ht="132" customHeight="1" thickBot="1" x14ac:dyDescent="0.35">
      <c r="AW111" s="2149" t="s">
        <v>890</v>
      </c>
      <c r="AX111" s="2150"/>
    </row>
    <row r="112" spans="49:50" ht="19.5" customHeight="1" x14ac:dyDescent="0.3">
      <c r="AW112" s="2223" t="str">
        <f>D50</f>
        <v>Social Sustainability</v>
      </c>
      <c r="AX112" s="2224"/>
    </row>
    <row r="113" spans="46:55" x14ac:dyDescent="0.3">
      <c r="AW113" s="2225" t="s">
        <v>891</v>
      </c>
      <c r="AX113" s="2226"/>
    </row>
    <row r="114" spans="46:55" ht="52.5" customHeight="1" x14ac:dyDescent="0.3">
      <c r="AW114" s="2225"/>
      <c r="AX114" s="2226"/>
    </row>
    <row r="115" spans="46:55" ht="76.5" customHeight="1" x14ac:dyDescent="0.3">
      <c r="AW115" s="2225"/>
      <c r="AX115" s="2226"/>
    </row>
    <row r="116" spans="46:55" ht="72.75" customHeight="1" thickBot="1" x14ac:dyDescent="0.35">
      <c r="AW116" s="2227"/>
      <c r="AX116" s="2228"/>
    </row>
    <row r="117" spans="46:55" x14ac:dyDescent="0.3">
      <c r="AW117" s="2221" t="str">
        <f>D59</f>
        <v>Economic Prefeasibility</v>
      </c>
      <c r="AX117" s="2222"/>
    </row>
    <row r="118" spans="46:55" ht="73.5" customHeight="1" thickBot="1" x14ac:dyDescent="0.35">
      <c r="AW118" s="2229" t="s">
        <v>892</v>
      </c>
      <c r="AX118" s="2230"/>
    </row>
    <row r="119" spans="46:55" x14ac:dyDescent="0.3">
      <c r="AW119" s="2223" t="str">
        <f>D64</f>
        <v>Financial Prefeasibility</v>
      </c>
      <c r="AX119" s="2224"/>
    </row>
    <row r="120" spans="46:55" ht="166.5" customHeight="1" thickBot="1" x14ac:dyDescent="0.35">
      <c r="AW120" s="2229" t="s">
        <v>893</v>
      </c>
      <c r="AX120" s="2230"/>
    </row>
    <row r="121" spans="46:55" ht="18.600000000000001" thickBot="1" x14ac:dyDescent="0.35">
      <c r="AW121" s="2223" t="str">
        <f>D75</f>
        <v>Legal Prefeasibility</v>
      </c>
      <c r="AX121" s="2224"/>
    </row>
    <row r="122" spans="46:55" ht="130.5" customHeight="1" thickBot="1" x14ac:dyDescent="0.35">
      <c r="AW122" s="2213" t="s">
        <v>894</v>
      </c>
      <c r="AX122" s="2214"/>
    </row>
    <row r="123" spans="46:55" ht="19.5" customHeight="1" x14ac:dyDescent="0.3">
      <c r="AW123" s="2208"/>
      <c r="AX123" s="2208"/>
    </row>
    <row r="124" spans="46:55" ht="315.75" customHeight="1" x14ac:dyDescent="0.3">
      <c r="AW124" s="2209"/>
      <c r="AX124" s="2209"/>
    </row>
    <row r="125" spans="46:55" x14ac:dyDescent="0.3">
      <c r="AW125" s="1069"/>
      <c r="AX125" s="1070"/>
    </row>
    <row r="126" spans="46:55" ht="18.75" customHeight="1" x14ac:dyDescent="0.3">
      <c r="AW126" s="1069"/>
      <c r="AX126" s="1071"/>
    </row>
    <row r="128" spans="46:55" x14ac:dyDescent="0.3">
      <c r="AT128" s="430"/>
      <c r="AU128" s="430"/>
      <c r="AV128" s="430"/>
      <c r="AW128" s="1069"/>
      <c r="AX128" s="622"/>
      <c r="AY128" s="430"/>
      <c r="AZ128" s="430"/>
      <c r="BA128" s="582"/>
      <c r="BB128" s="582"/>
      <c r="BC128" s="582"/>
    </row>
    <row r="129" spans="46:55" x14ac:dyDescent="0.3">
      <c r="AT129" s="430"/>
      <c r="AU129" s="430"/>
      <c r="AV129" s="430"/>
      <c r="AW129" s="1069"/>
      <c r="AX129" s="622"/>
      <c r="AY129" s="430"/>
      <c r="AZ129" s="430"/>
      <c r="BA129" s="582"/>
      <c r="BB129" s="582"/>
      <c r="BC129" s="582"/>
    </row>
    <row r="130" spans="46:55" x14ac:dyDescent="0.3">
      <c r="AT130" s="430"/>
      <c r="AU130" s="430"/>
      <c r="AV130" s="430"/>
      <c r="AW130" s="1069"/>
      <c r="AX130" s="1072"/>
      <c r="AY130" s="430"/>
      <c r="AZ130" s="430"/>
      <c r="BA130" s="582"/>
      <c r="BB130" s="582"/>
      <c r="BC130" s="582"/>
    </row>
    <row r="131" spans="46:55" x14ac:dyDescent="0.3">
      <c r="AT131" s="430"/>
      <c r="AU131" s="430"/>
      <c r="AV131" s="430"/>
      <c r="AW131" s="1069"/>
      <c r="AY131" s="430"/>
      <c r="AZ131" s="430"/>
      <c r="BA131" s="582"/>
      <c r="BB131" s="582"/>
      <c r="BC131" s="582"/>
    </row>
    <row r="132" spans="46:55" x14ac:dyDescent="0.3">
      <c r="AT132" s="430"/>
      <c r="AU132" s="430"/>
      <c r="AV132" s="430"/>
      <c r="AW132" s="1069"/>
      <c r="AX132" s="1070"/>
      <c r="AY132" s="430"/>
      <c r="AZ132" s="430"/>
      <c r="BA132" s="582"/>
      <c r="BB132" s="582"/>
      <c r="BC132" s="582"/>
    </row>
    <row r="133" spans="46:55" x14ac:dyDescent="0.3">
      <c r="AW133" s="1069"/>
      <c r="AX133" s="1071"/>
    </row>
    <row r="134" spans="46:55" x14ac:dyDescent="0.3">
      <c r="AW134" s="1069"/>
      <c r="AX134" s="622"/>
    </row>
    <row r="135" spans="46:55" ht="15" customHeight="1" x14ac:dyDescent="0.3">
      <c r="AW135" s="1069"/>
      <c r="AX135" s="430"/>
    </row>
    <row r="136" spans="46:55" ht="15" customHeight="1" x14ac:dyDescent="0.3">
      <c r="AW136" s="1069"/>
      <c r="AX136" s="430"/>
    </row>
    <row r="137" spans="46:55" ht="15" customHeight="1" x14ac:dyDescent="0.3">
      <c r="AW137" s="430"/>
      <c r="AX137" s="430"/>
    </row>
    <row r="138" spans="46:55" ht="15" customHeight="1" x14ac:dyDescent="0.3"/>
    <row r="139" spans="46:55" ht="15" customHeight="1" x14ac:dyDescent="0.3"/>
    <row r="140" spans="46:55" ht="15" customHeight="1" x14ac:dyDescent="0.3"/>
    <row r="141" spans="46:55" ht="15" customHeight="1" x14ac:dyDescent="0.3"/>
    <row r="142" spans="46:55" ht="15" customHeight="1" x14ac:dyDescent="0.3"/>
    <row r="143" spans="46:55" ht="15" customHeight="1" x14ac:dyDescent="0.3"/>
    <row r="144" spans="46:55" ht="15.75" customHeight="1" x14ac:dyDescent="0.3"/>
    <row r="149" ht="15" customHeight="1" x14ac:dyDescent="0.3"/>
    <row r="150" ht="15.75" customHeight="1" x14ac:dyDescent="0.3"/>
  </sheetData>
  <sheetProtection password="DA20" sheet="1" objects="1" scenarios="1"/>
  <mergeCells count="187">
    <mergeCell ref="AD33:AH33"/>
    <mergeCell ref="AD34:AH34"/>
    <mergeCell ref="AD35:AH35"/>
    <mergeCell ref="AD36:AH36"/>
    <mergeCell ref="AD43:AH43"/>
    <mergeCell ref="AD44:AH44"/>
    <mergeCell ref="AD45:AH45"/>
    <mergeCell ref="AD40:AH40"/>
    <mergeCell ref="AB45:AC45"/>
    <mergeCell ref="AB35:AC35"/>
    <mergeCell ref="D46:AA46"/>
    <mergeCell ref="D47:AA47"/>
    <mergeCell ref="D48:AA48"/>
    <mergeCell ref="AB46:AC46"/>
    <mergeCell ref="AB47:AC47"/>
    <mergeCell ref="AB48:AC48"/>
    <mergeCell ref="AB39:AC39"/>
    <mergeCell ref="D44:AA44"/>
    <mergeCell ref="D45:AA45"/>
    <mergeCell ref="D42:AA42"/>
    <mergeCell ref="AD46:AH46"/>
    <mergeCell ref="AD47:AH47"/>
    <mergeCell ref="AD48:AH48"/>
    <mergeCell ref="AE61:AH61"/>
    <mergeCell ref="D62:AA62"/>
    <mergeCell ref="AB62:AC62"/>
    <mergeCell ref="AE62:AH62"/>
    <mergeCell ref="D76:AA76"/>
    <mergeCell ref="AB76:AC76"/>
    <mergeCell ref="AD76:AH76"/>
    <mergeCell ref="AD58:AH58"/>
    <mergeCell ref="AD59:AH59"/>
    <mergeCell ref="AD60:AH60"/>
    <mergeCell ref="AD51:AH51"/>
    <mergeCell ref="AD53:AH53"/>
    <mergeCell ref="AD54:AH54"/>
    <mergeCell ref="AD55:AH55"/>
    <mergeCell ref="AD56:AH56"/>
    <mergeCell ref="AB51:AC51"/>
    <mergeCell ref="AB53:AC53"/>
    <mergeCell ref="AE52:AH52"/>
    <mergeCell ref="D51:AA51"/>
    <mergeCell ref="D53:AA53"/>
    <mergeCell ref="AB54:AC54"/>
    <mergeCell ref="AB61:AC61"/>
    <mergeCell ref="D75:AA75"/>
    <mergeCell ref="AD80:AH80"/>
    <mergeCell ref="AD81:AH81"/>
    <mergeCell ref="AD82:AH82"/>
    <mergeCell ref="AD83:AH83"/>
    <mergeCell ref="AD64:AH64"/>
    <mergeCell ref="AD65:AH65"/>
    <mergeCell ref="AD66:AH66"/>
    <mergeCell ref="AD67:AH67"/>
    <mergeCell ref="AD68:AH68"/>
    <mergeCell ref="AD74:AH74"/>
    <mergeCell ref="AD75:AH75"/>
    <mergeCell ref="AD77:AH77"/>
    <mergeCell ref="AD78:AH78"/>
    <mergeCell ref="AD79:AH79"/>
    <mergeCell ref="AD69:AH69"/>
    <mergeCell ref="AD70:AH70"/>
    <mergeCell ref="AD71:AH71"/>
    <mergeCell ref="AD72:AH72"/>
    <mergeCell ref="AD73:AH73"/>
    <mergeCell ref="D78:AA78"/>
    <mergeCell ref="D79:AA79"/>
    <mergeCell ref="AB70:AC70"/>
    <mergeCell ref="AB57:AC57"/>
    <mergeCell ref="AB59:AC59"/>
    <mergeCell ref="AB60:AC60"/>
    <mergeCell ref="D60:AA60"/>
    <mergeCell ref="D52:AA52"/>
    <mergeCell ref="AB52:AC52"/>
    <mergeCell ref="AB77:AC77"/>
    <mergeCell ref="D77:AA77"/>
    <mergeCell ref="AB65:AC65"/>
    <mergeCell ref="AB66:AC66"/>
    <mergeCell ref="AB68:AC68"/>
    <mergeCell ref="AB69:AC69"/>
    <mergeCell ref="D73:AA73"/>
    <mergeCell ref="D55:AA55"/>
    <mergeCell ref="D56:AA56"/>
    <mergeCell ref="D57:AA57"/>
    <mergeCell ref="D54:AA54"/>
    <mergeCell ref="D59:AA59"/>
    <mergeCell ref="D64:AA64"/>
    <mergeCell ref="D72:AA72"/>
    <mergeCell ref="D66:AA66"/>
    <mergeCell ref="AB64:AC64"/>
    <mergeCell ref="D65:AA65"/>
    <mergeCell ref="D61:AA61"/>
    <mergeCell ref="D80:AA80"/>
    <mergeCell ref="AD49:AH49"/>
    <mergeCell ref="AD50:AH50"/>
    <mergeCell ref="AD37:AH37"/>
    <mergeCell ref="AD38:AH38"/>
    <mergeCell ref="AD39:AH39"/>
    <mergeCell ref="AD41:AH41"/>
    <mergeCell ref="AD42:AH42"/>
    <mergeCell ref="AD57:AH57"/>
    <mergeCell ref="D67:AA67"/>
    <mergeCell ref="D68:AA68"/>
    <mergeCell ref="D69:AA69"/>
    <mergeCell ref="D70:AA70"/>
    <mergeCell ref="D71:AA71"/>
    <mergeCell ref="AB67:AC67"/>
    <mergeCell ref="AB71:AC71"/>
    <mergeCell ref="AB72:AC72"/>
    <mergeCell ref="AB73:AC73"/>
    <mergeCell ref="AB79:AC79"/>
    <mergeCell ref="AB80:AC80"/>
    <mergeCell ref="AB78:AC78"/>
    <mergeCell ref="AB75:AC75"/>
    <mergeCell ref="AB55:AC55"/>
    <mergeCell ref="AB56:AC56"/>
    <mergeCell ref="D33:AA33"/>
    <mergeCell ref="O22:S22"/>
    <mergeCell ref="O23:S23"/>
    <mergeCell ref="S19:T21"/>
    <mergeCell ref="O19:Q21"/>
    <mergeCell ref="AB33:AC33"/>
    <mergeCell ref="D50:AA50"/>
    <mergeCell ref="AB36:AC36"/>
    <mergeCell ref="AB37:AC37"/>
    <mergeCell ref="AB38:AC38"/>
    <mergeCell ref="AB43:AC43"/>
    <mergeCell ref="D40:AA40"/>
    <mergeCell ref="AB40:AC40"/>
    <mergeCell ref="AB42:AC42"/>
    <mergeCell ref="AB44:AC44"/>
    <mergeCell ref="AB50:AC50"/>
    <mergeCell ref="D36:AA36"/>
    <mergeCell ref="D37:AA37"/>
    <mergeCell ref="D38:AA38"/>
    <mergeCell ref="D39:AA39"/>
    <mergeCell ref="D43:AA43"/>
    <mergeCell ref="D34:AA34"/>
    <mergeCell ref="D35:AA35"/>
    <mergeCell ref="AB34:AC34"/>
    <mergeCell ref="N5:U5"/>
    <mergeCell ref="D4:U4"/>
    <mergeCell ref="AB32:AC32"/>
    <mergeCell ref="W12:AC12"/>
    <mergeCell ref="W21:AC21"/>
    <mergeCell ref="AD32:AH32"/>
    <mergeCell ref="W5:AC5"/>
    <mergeCell ref="W6:W11"/>
    <mergeCell ref="X6:AC11"/>
    <mergeCell ref="X13:AC20"/>
    <mergeCell ref="W13:W20"/>
    <mergeCell ref="D5:M5"/>
    <mergeCell ref="AF4:AF16"/>
    <mergeCell ref="N24:T25"/>
    <mergeCell ref="AG4:AG6"/>
    <mergeCell ref="AG7:AG9"/>
    <mergeCell ref="AG10:AG12"/>
    <mergeCell ref="AG13:AG16"/>
    <mergeCell ref="D81:AA81"/>
    <mergeCell ref="D82:AA82"/>
    <mergeCell ref="D83:AA83"/>
    <mergeCell ref="AB84:AC84"/>
    <mergeCell ref="AB85:AC85"/>
    <mergeCell ref="AB81:AC81"/>
    <mergeCell ref="AB82:AC82"/>
    <mergeCell ref="AB83:AC83"/>
    <mergeCell ref="AD84:AH84"/>
    <mergeCell ref="AW104:AX107"/>
    <mergeCell ref="AW108:AX108"/>
    <mergeCell ref="AW109:AX109"/>
    <mergeCell ref="AW111:AX111"/>
    <mergeCell ref="AW110:AX110"/>
    <mergeCell ref="AW123:AX123"/>
    <mergeCell ref="AW124:AX124"/>
    <mergeCell ref="AW93:AX93"/>
    <mergeCell ref="D84:AA84"/>
    <mergeCell ref="AW122:AX122"/>
    <mergeCell ref="AW94:AX94"/>
    <mergeCell ref="AW95:AX102"/>
    <mergeCell ref="AW103:AX103"/>
    <mergeCell ref="AW112:AX112"/>
    <mergeCell ref="AW113:AX116"/>
    <mergeCell ref="AW117:AX117"/>
    <mergeCell ref="AW118:AX118"/>
    <mergeCell ref="AW119:AX119"/>
    <mergeCell ref="AW120:AX120"/>
    <mergeCell ref="AW121:AX121"/>
  </mergeCells>
  <conditionalFormatting sqref="B38:B40">
    <cfRule type="expression" dxfId="582" priority="238">
      <formula>D38=0</formula>
    </cfRule>
  </conditionalFormatting>
  <conditionalFormatting sqref="D60">
    <cfRule type="cellIs" dxfId="581" priority="227" operator="equal">
      <formula>0</formula>
    </cfRule>
  </conditionalFormatting>
  <conditionalFormatting sqref="B34">
    <cfRule type="expression" dxfId="580" priority="180">
      <formula>D34=0</formula>
    </cfRule>
  </conditionalFormatting>
  <conditionalFormatting sqref="D38:AA38">
    <cfRule type="expression" dxfId="579" priority="191">
      <formula>D38=0</formula>
    </cfRule>
  </conditionalFormatting>
  <conditionalFormatting sqref="B37">
    <cfRule type="expression" dxfId="578" priority="186">
      <formula>D37=0</formula>
    </cfRule>
  </conditionalFormatting>
  <conditionalFormatting sqref="D37:AA37">
    <cfRule type="expression" dxfId="577" priority="184">
      <formula>D37=0</formula>
    </cfRule>
  </conditionalFormatting>
  <conditionalFormatting sqref="B35:B36">
    <cfRule type="expression" dxfId="576" priority="183">
      <formula>D35=0</formula>
    </cfRule>
  </conditionalFormatting>
  <conditionalFormatting sqref="D35:AA36">
    <cfRule type="expression" dxfId="575" priority="181">
      <formula>D35=0</formula>
    </cfRule>
  </conditionalFormatting>
  <conditionalFormatting sqref="D34:AA34">
    <cfRule type="expression" dxfId="574" priority="178">
      <formula>D34=0</formula>
    </cfRule>
  </conditionalFormatting>
  <conditionalFormatting sqref="B51:B52">
    <cfRule type="expression" dxfId="573" priority="174">
      <formula>D51=0</formula>
    </cfRule>
  </conditionalFormatting>
  <conditionalFormatting sqref="D51:AA52">
    <cfRule type="expression" dxfId="572" priority="172">
      <formula>D51=0</formula>
    </cfRule>
  </conditionalFormatting>
  <conditionalFormatting sqref="B54">
    <cfRule type="expression" dxfId="571" priority="171">
      <formula>D54=0</formula>
    </cfRule>
  </conditionalFormatting>
  <conditionalFormatting sqref="D54:AA54">
    <cfRule type="expression" dxfId="570" priority="169">
      <formula>D54=0</formula>
    </cfRule>
  </conditionalFormatting>
  <conditionalFormatting sqref="B55">
    <cfRule type="expression" dxfId="569" priority="168">
      <formula>D55=0</formula>
    </cfRule>
  </conditionalFormatting>
  <conditionalFormatting sqref="AB55">
    <cfRule type="expression" dxfId="568" priority="167">
      <formula>D55=0</formula>
    </cfRule>
  </conditionalFormatting>
  <conditionalFormatting sqref="B57">
    <cfRule type="expression" dxfId="567" priority="165">
      <formula>D57=0</formula>
    </cfRule>
  </conditionalFormatting>
  <conditionalFormatting sqref="B65">
    <cfRule type="expression" dxfId="566" priority="156">
      <formula>D65=0</formula>
    </cfRule>
  </conditionalFormatting>
  <conditionalFormatting sqref="D65:AA65">
    <cfRule type="expression" dxfId="565" priority="154">
      <formula>D65=0</formula>
    </cfRule>
  </conditionalFormatting>
  <conditionalFormatting sqref="B66">
    <cfRule type="expression" dxfId="564" priority="153">
      <formula>D66=0</formula>
    </cfRule>
  </conditionalFormatting>
  <conditionalFormatting sqref="D66:AA66">
    <cfRule type="expression" dxfId="563" priority="151">
      <formula>D66=0</formula>
    </cfRule>
  </conditionalFormatting>
  <conditionalFormatting sqref="B67">
    <cfRule type="expression" dxfId="562" priority="150">
      <formula>D67=0</formula>
    </cfRule>
  </conditionalFormatting>
  <conditionalFormatting sqref="D67:AA67">
    <cfRule type="expression" dxfId="561" priority="148">
      <formula>D67=0</formula>
    </cfRule>
  </conditionalFormatting>
  <conditionalFormatting sqref="B68">
    <cfRule type="expression" dxfId="560" priority="147">
      <formula>D68=0</formula>
    </cfRule>
  </conditionalFormatting>
  <conditionalFormatting sqref="D68:AA68">
    <cfRule type="expression" dxfId="559" priority="145">
      <formula>D68=0</formula>
    </cfRule>
  </conditionalFormatting>
  <conditionalFormatting sqref="B69">
    <cfRule type="expression" dxfId="558" priority="144">
      <formula>D69=0</formula>
    </cfRule>
  </conditionalFormatting>
  <conditionalFormatting sqref="D69:AA69">
    <cfRule type="expression" dxfId="557" priority="142">
      <formula>D69=0</formula>
    </cfRule>
  </conditionalFormatting>
  <conditionalFormatting sqref="B70">
    <cfRule type="expression" dxfId="556" priority="141">
      <formula>D70=0</formula>
    </cfRule>
  </conditionalFormatting>
  <conditionalFormatting sqref="D70:AA70">
    <cfRule type="expression" dxfId="555" priority="139">
      <formula>D70=0</formula>
    </cfRule>
  </conditionalFormatting>
  <conditionalFormatting sqref="B71">
    <cfRule type="expression" dxfId="554" priority="138">
      <formula>D71=0</formula>
    </cfRule>
  </conditionalFormatting>
  <conditionalFormatting sqref="D71:AA71">
    <cfRule type="expression" dxfId="553" priority="136">
      <formula>D71=0</formula>
    </cfRule>
  </conditionalFormatting>
  <conditionalFormatting sqref="B72">
    <cfRule type="expression" dxfId="552" priority="135">
      <formula>D72=0</formula>
    </cfRule>
  </conditionalFormatting>
  <conditionalFormatting sqref="D72:AA72">
    <cfRule type="expression" dxfId="551" priority="133">
      <formula>D72=0</formula>
    </cfRule>
  </conditionalFormatting>
  <conditionalFormatting sqref="B73">
    <cfRule type="expression" dxfId="550" priority="132">
      <formula>D73=0</formula>
    </cfRule>
  </conditionalFormatting>
  <conditionalFormatting sqref="D73:AA73">
    <cfRule type="expression" dxfId="549" priority="130">
      <formula>D73=0</formula>
    </cfRule>
  </conditionalFormatting>
  <conditionalFormatting sqref="B77:B80">
    <cfRule type="expression" dxfId="548" priority="129">
      <formula>D77=0</formula>
    </cfRule>
  </conditionalFormatting>
  <conditionalFormatting sqref="D77:AA77">
    <cfRule type="expression" dxfId="547" priority="127">
      <formula>D77=0</formula>
    </cfRule>
  </conditionalFormatting>
  <conditionalFormatting sqref="D78:AA78">
    <cfRule type="expression" dxfId="546" priority="124">
      <formula>D78=0</formula>
    </cfRule>
  </conditionalFormatting>
  <conditionalFormatting sqref="D79:AA79">
    <cfRule type="expression" dxfId="545" priority="121">
      <formula>D79=0</formula>
    </cfRule>
  </conditionalFormatting>
  <conditionalFormatting sqref="B81:B83">
    <cfRule type="expression" dxfId="544" priority="120">
      <formula>D81=0</formula>
    </cfRule>
  </conditionalFormatting>
  <conditionalFormatting sqref="AB80:AB83">
    <cfRule type="expression" dxfId="543" priority="119">
      <formula>D80=0</formula>
    </cfRule>
  </conditionalFormatting>
  <conditionalFormatting sqref="D80:AA84">
    <cfRule type="expression" dxfId="542" priority="118">
      <formula>D80=0</formula>
    </cfRule>
  </conditionalFormatting>
  <conditionalFormatting sqref="D43:AA43">
    <cfRule type="expression" dxfId="541" priority="117">
      <formula>D43=0</formula>
    </cfRule>
  </conditionalFormatting>
  <conditionalFormatting sqref="B43">
    <cfRule type="expression" dxfId="540" priority="116">
      <formula>D43=0</formula>
    </cfRule>
  </conditionalFormatting>
  <conditionalFormatting sqref="B44">
    <cfRule type="expression" dxfId="539" priority="114">
      <formula>D44=0</formula>
    </cfRule>
  </conditionalFormatting>
  <conditionalFormatting sqref="B45:B48">
    <cfRule type="expression" dxfId="538" priority="111">
      <formula>D45=0</formula>
    </cfRule>
  </conditionalFormatting>
  <conditionalFormatting sqref="B53">
    <cfRule type="expression" dxfId="537" priority="108">
      <formula>D53=0</formula>
    </cfRule>
  </conditionalFormatting>
  <conditionalFormatting sqref="B56">
    <cfRule type="expression" dxfId="536" priority="105">
      <formula>D56=0</formula>
    </cfRule>
  </conditionalFormatting>
  <conditionalFormatting sqref="AB84">
    <cfRule type="expression" dxfId="535" priority="102">
      <formula>D84=0</formula>
    </cfRule>
  </conditionalFormatting>
  <conditionalFormatting sqref="D44">
    <cfRule type="cellIs" dxfId="534" priority="96" operator="equal">
      <formula>0</formula>
    </cfRule>
  </conditionalFormatting>
  <conditionalFormatting sqref="D53">
    <cfRule type="cellIs" dxfId="533" priority="92" operator="equal">
      <formula>0</formula>
    </cfRule>
  </conditionalFormatting>
  <conditionalFormatting sqref="AB53">
    <cfRule type="expression" dxfId="532" priority="87">
      <formula>D53=0</formula>
    </cfRule>
  </conditionalFormatting>
  <conditionalFormatting sqref="D45:D48">
    <cfRule type="cellIs" dxfId="531" priority="85" operator="equal">
      <formula>0</formula>
    </cfRule>
  </conditionalFormatting>
  <conditionalFormatting sqref="D39:AA39">
    <cfRule type="expression" dxfId="530" priority="83">
      <formula>D39=0</formula>
    </cfRule>
  </conditionalFormatting>
  <conditionalFormatting sqref="B60:B61">
    <cfRule type="expression" dxfId="529" priority="565">
      <formula>D60=0</formula>
    </cfRule>
  </conditionalFormatting>
  <conditionalFormatting sqref="B84">
    <cfRule type="expression" dxfId="528" priority="82">
      <formula>D84=0</formula>
    </cfRule>
  </conditionalFormatting>
  <conditionalFormatting sqref="AD60:AH60 AD61">
    <cfRule type="expression" dxfId="527" priority="81">
      <formula>D60=0</formula>
    </cfRule>
  </conditionalFormatting>
  <conditionalFormatting sqref="AD64:AH64">
    <cfRule type="expression" dxfId="526" priority="77">
      <formula>D64=0</formula>
    </cfRule>
  </conditionalFormatting>
  <conditionalFormatting sqref="AD50:AH51 AD53:AH57 AD52">
    <cfRule type="expression" dxfId="525" priority="75">
      <formula>D50=0</formula>
    </cfRule>
  </conditionalFormatting>
  <conditionalFormatting sqref="AD42:AH48">
    <cfRule type="expression" dxfId="524" priority="74">
      <formula>D42=0</formula>
    </cfRule>
  </conditionalFormatting>
  <conditionalFormatting sqref="AD34:AH40">
    <cfRule type="expression" dxfId="523" priority="73">
      <formula>D34=0</formula>
    </cfRule>
  </conditionalFormatting>
  <conditionalFormatting sqref="AD65:AH67">
    <cfRule type="expression" dxfId="522" priority="72">
      <formula>D65=0</formula>
    </cfRule>
  </conditionalFormatting>
  <conditionalFormatting sqref="AD68:AH74">
    <cfRule type="expression" dxfId="521" priority="71">
      <formula>D68=0</formula>
    </cfRule>
  </conditionalFormatting>
  <conditionalFormatting sqref="AD75:AH75 AD77:AH84">
    <cfRule type="expression" dxfId="520" priority="70">
      <formula>D75=0</formula>
    </cfRule>
  </conditionalFormatting>
  <conditionalFormatting sqref="D40:AA40">
    <cfRule type="expression" dxfId="519" priority="69">
      <formula>D40=0</formula>
    </cfRule>
  </conditionalFormatting>
  <conditionalFormatting sqref="B53">
    <cfRule type="expression" dxfId="518" priority="67">
      <formula>D53=0</formula>
    </cfRule>
  </conditionalFormatting>
  <conditionalFormatting sqref="B54">
    <cfRule type="expression" dxfId="517" priority="66">
      <formula>D54=0</formula>
    </cfRule>
  </conditionalFormatting>
  <conditionalFormatting sqref="B56:B57">
    <cfRule type="expression" dxfId="516" priority="65">
      <formula>D56=0</formula>
    </cfRule>
  </conditionalFormatting>
  <conditionalFormatting sqref="B52">
    <cfRule type="expression" dxfId="515" priority="64">
      <formula>D52=0</formula>
    </cfRule>
  </conditionalFormatting>
  <conditionalFormatting sqref="B55">
    <cfRule type="expression" dxfId="514" priority="63">
      <formula>D55=0</formula>
    </cfRule>
  </conditionalFormatting>
  <conditionalFormatting sqref="AB52">
    <cfRule type="expression" dxfId="513" priority="62">
      <formula>D52=0</formula>
    </cfRule>
  </conditionalFormatting>
  <conditionalFormatting sqref="D61">
    <cfRule type="cellIs" dxfId="512" priority="61" operator="equal">
      <formula>0</formula>
    </cfRule>
  </conditionalFormatting>
  <conditionalFormatting sqref="AE52">
    <cfRule type="expression" dxfId="511" priority="57">
      <formula>D52=0</formula>
    </cfRule>
  </conditionalFormatting>
  <conditionalFormatting sqref="AE61">
    <cfRule type="expression" dxfId="510" priority="56">
      <formula>D61=0</formula>
    </cfRule>
  </conditionalFormatting>
  <conditionalFormatting sqref="D55:AA55">
    <cfRule type="expression" dxfId="509" priority="55">
      <formula>D55=0</formula>
    </cfRule>
  </conditionalFormatting>
  <conditionalFormatting sqref="D56:AA56">
    <cfRule type="expression" dxfId="508" priority="54">
      <formula>D56=0</formula>
    </cfRule>
  </conditionalFormatting>
  <conditionalFormatting sqref="D57:AA57">
    <cfRule type="expression" dxfId="507" priority="53">
      <formula>D57=0</formula>
    </cfRule>
  </conditionalFormatting>
  <conditionalFormatting sqref="AB56">
    <cfRule type="expression" dxfId="506" priority="51">
      <formula>D56=0</formula>
    </cfRule>
  </conditionalFormatting>
  <conditionalFormatting sqref="B62">
    <cfRule type="expression" dxfId="505" priority="50">
      <formula>D62=0</formula>
    </cfRule>
  </conditionalFormatting>
  <conditionalFormatting sqref="AD62">
    <cfRule type="expression" dxfId="504" priority="49">
      <formula>D62=0</formula>
    </cfRule>
  </conditionalFormatting>
  <conditionalFormatting sqref="D62">
    <cfRule type="cellIs" dxfId="503" priority="48" operator="equal">
      <formula>0</formula>
    </cfRule>
  </conditionalFormatting>
  <conditionalFormatting sqref="AB62">
    <cfRule type="expression" dxfId="502" priority="47">
      <formula>D62=0</formula>
    </cfRule>
  </conditionalFormatting>
  <conditionalFormatting sqref="AE62">
    <cfRule type="expression" dxfId="501" priority="46">
      <formula>D62=0</formula>
    </cfRule>
  </conditionalFormatting>
  <conditionalFormatting sqref="B76">
    <cfRule type="expression" dxfId="500" priority="41">
      <formula>D76=0</formula>
    </cfRule>
  </conditionalFormatting>
  <conditionalFormatting sqref="AB76">
    <cfRule type="expression" dxfId="499" priority="40">
      <formula>D76=0</formula>
    </cfRule>
  </conditionalFormatting>
  <conditionalFormatting sqref="D76:AA76">
    <cfRule type="expression" dxfId="498" priority="39">
      <formula>D76=0</formula>
    </cfRule>
  </conditionalFormatting>
  <conditionalFormatting sqref="AD76:AH76">
    <cfRule type="expression" dxfId="497" priority="38">
      <formula>D76=0</formula>
    </cfRule>
  </conditionalFormatting>
  <conditionalFormatting sqref="AB37">
    <cfRule type="expression" dxfId="496" priority="35">
      <formula>D37=0</formula>
    </cfRule>
  </conditionalFormatting>
  <conditionalFormatting sqref="AB34">
    <cfRule type="expression" dxfId="495" priority="33">
      <formula>D34=0</formula>
    </cfRule>
  </conditionalFormatting>
  <conditionalFormatting sqref="AB39">
    <cfRule type="expression" dxfId="494" priority="32">
      <formula>D39=0</formula>
    </cfRule>
  </conditionalFormatting>
  <conditionalFormatting sqref="AB36">
    <cfRule type="expression" dxfId="493" priority="30">
      <formula>D36=0</formula>
    </cfRule>
  </conditionalFormatting>
  <conditionalFormatting sqref="AB44">
    <cfRule type="expression" dxfId="492" priority="28">
      <formula>D44=0</formula>
    </cfRule>
  </conditionalFormatting>
  <conditionalFormatting sqref="AB35">
    <cfRule type="expression" dxfId="491" priority="25">
      <formula>D35=0</formula>
    </cfRule>
  </conditionalFormatting>
  <conditionalFormatting sqref="AB38">
    <cfRule type="expression" dxfId="490" priority="24">
      <formula>D38=0</formula>
    </cfRule>
  </conditionalFormatting>
  <conditionalFormatting sqref="AB40">
    <cfRule type="expression" dxfId="489" priority="23">
      <formula>D40=0</formula>
    </cfRule>
  </conditionalFormatting>
  <conditionalFormatting sqref="AB43">
    <cfRule type="expression" dxfId="488" priority="22">
      <formula>D43=0</formula>
    </cfRule>
  </conditionalFormatting>
  <conditionalFormatting sqref="AB45">
    <cfRule type="expression" dxfId="487" priority="21">
      <formula>D45=0</formula>
    </cfRule>
  </conditionalFormatting>
  <conditionalFormatting sqref="AB46">
    <cfRule type="expression" dxfId="486" priority="20">
      <formula>D46=0</formula>
    </cfRule>
  </conditionalFormatting>
  <conditionalFormatting sqref="AB47">
    <cfRule type="expression" dxfId="485" priority="19">
      <formula>D47=0</formula>
    </cfRule>
  </conditionalFormatting>
  <conditionalFormatting sqref="AB48">
    <cfRule type="expression" dxfId="484" priority="18">
      <formula>D48=0</formula>
    </cfRule>
  </conditionalFormatting>
  <conditionalFormatting sqref="AB51">
    <cfRule type="expression" dxfId="483" priority="17">
      <formula>D51=0</formula>
    </cfRule>
  </conditionalFormatting>
  <conditionalFormatting sqref="AB54">
    <cfRule type="expression" dxfId="482" priority="16">
      <formula>D54=0</formula>
    </cfRule>
  </conditionalFormatting>
  <conditionalFormatting sqref="AB57">
    <cfRule type="expression" dxfId="481" priority="15">
      <formula>D57=0</formula>
    </cfRule>
  </conditionalFormatting>
  <conditionalFormatting sqref="AB60">
    <cfRule type="expression" dxfId="480" priority="14">
      <formula>D60=0</formula>
    </cfRule>
  </conditionalFormatting>
  <conditionalFormatting sqref="AB61">
    <cfRule type="expression" dxfId="479" priority="13">
      <formula>D61=0</formula>
    </cfRule>
  </conditionalFormatting>
  <conditionalFormatting sqref="AB65">
    <cfRule type="expression" dxfId="478" priority="12">
      <formula>D65=0</formula>
    </cfRule>
  </conditionalFormatting>
  <conditionalFormatting sqref="AB66">
    <cfRule type="expression" dxfId="477" priority="11">
      <formula>D66=0</formula>
    </cfRule>
  </conditionalFormatting>
  <conditionalFormatting sqref="AB67">
    <cfRule type="expression" dxfId="476" priority="10">
      <formula>D67=0</formula>
    </cfRule>
  </conditionalFormatting>
  <conditionalFormatting sqref="AB68">
    <cfRule type="expression" dxfId="475" priority="9">
      <formula>D68=0</formula>
    </cfRule>
  </conditionalFormatting>
  <conditionalFormatting sqref="AB69">
    <cfRule type="expression" dxfId="474" priority="8">
      <formula>D69=0</formula>
    </cfRule>
  </conditionalFormatting>
  <conditionalFormatting sqref="AB70">
    <cfRule type="expression" dxfId="473" priority="7">
      <formula>D70=0</formula>
    </cfRule>
  </conditionalFormatting>
  <conditionalFormatting sqref="AB71">
    <cfRule type="expression" dxfId="472" priority="6">
      <formula>D71=0</formula>
    </cfRule>
  </conditionalFormatting>
  <conditionalFormatting sqref="AB72">
    <cfRule type="expression" dxfId="471" priority="5">
      <formula>D72=0</formula>
    </cfRule>
  </conditionalFormatting>
  <conditionalFormatting sqref="AB73">
    <cfRule type="expression" dxfId="470" priority="4">
      <formula>D73=0</formula>
    </cfRule>
  </conditionalFormatting>
  <conditionalFormatting sqref="AB77">
    <cfRule type="expression" dxfId="469" priority="3">
      <formula>D77=0</formula>
    </cfRule>
  </conditionalFormatting>
  <conditionalFormatting sqref="AB78">
    <cfRule type="expression" dxfId="468" priority="2">
      <formula>D78=0</formula>
    </cfRule>
  </conditionalFormatting>
  <conditionalFormatting sqref="AB79">
    <cfRule type="expression" dxfId="467" priority="1">
      <formula>D79=0</formula>
    </cfRule>
  </conditionalFormatting>
  <dataValidations count="3">
    <dataValidation type="list" allowBlank="1" showInputMessage="1" showErrorMessage="1" promptTitle="Select Response" sqref="AB58 AB63" xr:uid="{00000000-0002-0000-0400-000000000000}">
      <formula1>"Yes,No,N/A,Uncertain"</formula1>
    </dataValidation>
    <dataValidation type="list" allowBlank="1" showInputMessage="1" showErrorMessage="1" promptTitle="Select Response" sqref="AB65:AC73 AB43:AC48 AB51:AC57 AB34:AC40 AB60:AC62 AB76:AC84" xr:uid="{00000000-0002-0000-0400-000001000000}">
      <formula1>"Yes,No,Uncertain,N/A,Skip"</formula1>
    </dataValidation>
    <dataValidation allowBlank="1" showInputMessage="1" showErrorMessage="1" promptTitle="Select Response" sqref="AB41:AC41 AB58" xr:uid="{00000000-0002-0000-0400-000002000000}"/>
  </dataValidations>
  <hyperlinks>
    <hyperlink ref="D33:N33" location="Feasibility1" display="Technical feasibility assessment" xr:uid="{00000000-0004-0000-0400-000000000000}"/>
    <hyperlink ref="D42:O42" location="Feasibility2" display="Environmental Feasibility" xr:uid="{00000000-0004-0000-0400-000001000000}"/>
    <hyperlink ref="D50:N50" location="Feasibility3" display="Social Impact Assessment" xr:uid="{00000000-0004-0000-0400-000002000000}"/>
    <hyperlink ref="D59:N59" location="Feasibility4" display="Economic Feasibility Assessment" xr:uid="{00000000-0004-0000-0400-000003000000}"/>
    <hyperlink ref="D64:O64" location="Feasibility5" display="Financial  Feasibility Assessment" xr:uid="{00000000-0004-0000-0400-000004000000}"/>
    <hyperlink ref="D75:M75" location="Feasibility6" display="Legal Feasibility Assessment" xr:uid="{00000000-0004-0000-0400-000005000000}"/>
  </hyperlinks>
  <pageMargins left="0.7" right="0.7" top="0.75" bottom="0.75" header="0.3" footer="0.3"/>
  <pageSetup paperSize="9" scale="1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48" id="{0E832DB1-2EE1-4E7F-9525-72C8D15A83A9}">
            <xm:f>Admin!$M$44=TRUE</xm:f>
            <x14:dxf>
              <font>
                <color rgb="FFC00000"/>
              </font>
            </x14:dxf>
          </x14:cfRule>
          <xm:sqref>D44:AA44</xm:sqref>
        </x14:conditionalFormatting>
        <x14:conditionalFormatting xmlns:xm="http://schemas.microsoft.com/office/excel/2006/main">
          <x14:cfRule type="expression" priority="549" id="{DD23DEB9-78BB-4A9B-A610-34C88BC8BC21}">
            <xm:f>Admin!$M$46=TRUE</xm:f>
            <x14:dxf>
              <font>
                <color rgb="FFC00000"/>
              </font>
            </x14:dxf>
          </x14:cfRule>
          <xm:sqref>D53:AA53</xm:sqref>
        </x14:conditionalFormatting>
        <x14:conditionalFormatting xmlns:xm="http://schemas.microsoft.com/office/excel/2006/main">
          <x14:cfRule type="expression" priority="551" id="{67095A68-194C-4972-8D38-3F2AECB5852D}">
            <xm:f>Admin!$M$45=TRUE</xm:f>
            <x14:dxf>
              <font>
                <color rgb="FFC00000"/>
              </font>
            </x14:dxf>
          </x14:cfRule>
          <xm:sqref>D45:AA48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1"/>
    <pageSetUpPr fitToPage="1"/>
  </sheetPr>
  <dimension ref="A1:BL165"/>
  <sheetViews>
    <sheetView topLeftCell="B1" zoomScale="82" zoomScaleNormal="70" workbookViewId="0">
      <selection activeCell="B1" sqref="B1"/>
    </sheetView>
  </sheetViews>
  <sheetFormatPr defaultColWidth="9.21875" defaultRowHeight="14.4" x14ac:dyDescent="0.3"/>
  <cols>
    <col min="1" max="1" width="3.44140625" style="47" hidden="1" customWidth="1"/>
    <col min="2" max="2" width="4.44140625" style="47" customWidth="1"/>
    <col min="3" max="3" width="6.44140625" style="47" hidden="1" customWidth="1"/>
    <col min="4" max="13" width="4" style="47" customWidth="1"/>
    <col min="14" max="20" width="9.21875" style="47" customWidth="1"/>
    <col min="21" max="21" width="9.21875" style="47" hidden="1" customWidth="1"/>
    <col min="22" max="22" width="4.44140625" style="47" customWidth="1"/>
    <col min="23" max="25" width="9.21875" style="47" customWidth="1"/>
    <col min="26" max="26" width="12.44140625" style="47" customWidth="1"/>
    <col min="27" max="27" width="9.21875" style="47" customWidth="1"/>
    <col min="28" max="28" width="15.5546875" style="47" bestFit="1" customWidth="1"/>
    <col min="29" max="29" width="1.44140625" style="47" hidden="1" customWidth="1"/>
    <col min="30" max="30" width="4.44140625" style="47" customWidth="1"/>
    <col min="31" max="31" width="9.21875" style="47" customWidth="1"/>
    <col min="32" max="32" width="53.5546875" style="47" customWidth="1"/>
    <col min="33" max="33" width="9.21875" style="47"/>
    <col min="34" max="34" width="1.44140625" style="47" customWidth="1"/>
    <col min="35" max="35" width="60.5546875" style="47" customWidth="1"/>
    <col min="36" max="36" width="116.5546875" style="47" customWidth="1"/>
    <col min="37" max="16384" width="9.21875" style="47"/>
  </cols>
  <sheetData>
    <row r="1" spans="1:64" ht="27" customHeight="1" thickTop="1" thickBot="1" x14ac:dyDescent="0.6">
      <c r="A1" s="10"/>
      <c r="B1" s="10"/>
      <c r="C1" s="10"/>
      <c r="D1" s="11"/>
      <c r="E1" s="58" t="s">
        <v>463</v>
      </c>
      <c r="F1" s="11"/>
      <c r="G1" s="11"/>
      <c r="H1" s="11"/>
      <c r="I1" s="11"/>
      <c r="J1" s="11"/>
      <c r="K1" s="11"/>
      <c r="L1" s="11"/>
      <c r="M1" s="11"/>
      <c r="N1" s="11"/>
      <c r="O1" s="11"/>
      <c r="P1" s="11"/>
      <c r="Q1" s="11"/>
      <c r="R1" s="11"/>
      <c r="S1" s="11"/>
      <c r="T1" s="11"/>
      <c r="U1" s="11"/>
      <c r="V1" s="11"/>
      <c r="W1" s="11"/>
      <c r="X1" s="11"/>
      <c r="Y1" s="11"/>
      <c r="Z1" s="11"/>
      <c r="AA1" s="11"/>
      <c r="AB1" s="1"/>
      <c r="AC1" s="1"/>
      <c r="AD1" s="1"/>
      <c r="AE1" s="1"/>
      <c r="AF1" s="1"/>
      <c r="AG1" s="1"/>
      <c r="AH1" s="1"/>
      <c r="BK1" s="47" t="s">
        <v>222</v>
      </c>
      <c r="BL1" s="47">
        <f>'Data Analysis'!AB355</f>
        <v>180</v>
      </c>
    </row>
    <row r="2" spans="1:64" ht="15" customHeight="1" thickTop="1" thickBot="1" x14ac:dyDescent="0.35">
      <c r="A2" s="36"/>
      <c r="B2" s="36"/>
      <c r="C2" s="416"/>
      <c r="D2" s="36"/>
      <c r="E2" s="59"/>
      <c r="F2" s="36"/>
      <c r="G2" s="36"/>
      <c r="H2" s="36"/>
      <c r="I2" s="36"/>
      <c r="J2" s="36"/>
      <c r="K2" s="36"/>
      <c r="L2" s="36"/>
      <c r="M2" s="36"/>
      <c r="N2" s="36"/>
      <c r="O2" s="36"/>
      <c r="P2" s="36"/>
      <c r="Q2" s="36"/>
      <c r="R2" s="36"/>
      <c r="S2" s="36"/>
      <c r="T2" s="36"/>
      <c r="U2" s="36"/>
      <c r="V2" s="36"/>
      <c r="W2" s="36"/>
      <c r="X2" s="36"/>
      <c r="Y2" s="36"/>
      <c r="Z2" s="36"/>
      <c r="AA2" s="36"/>
      <c r="AH2" s="1"/>
      <c r="BK2" s="47" t="s">
        <v>10</v>
      </c>
      <c r="BL2" s="47">
        <f>'Data Analysis'!AB356</f>
        <v>1</v>
      </c>
    </row>
    <row r="3" spans="1:64" ht="15" customHeight="1" thickBot="1" x14ac:dyDescent="0.45">
      <c r="A3" s="36"/>
      <c r="B3" s="36"/>
      <c r="C3" s="417"/>
      <c r="D3" s="2270" t="s">
        <v>303</v>
      </c>
      <c r="E3" s="2271"/>
      <c r="F3" s="2271"/>
      <c r="G3" s="2271"/>
      <c r="H3" s="2271"/>
      <c r="I3" s="2271"/>
      <c r="J3" s="2271"/>
      <c r="K3" s="2271"/>
      <c r="L3" s="2271"/>
      <c r="M3" s="2271"/>
      <c r="N3" s="2271"/>
      <c r="O3" s="2271"/>
      <c r="P3" s="2271"/>
      <c r="Q3" s="2271"/>
      <c r="R3" s="2271"/>
      <c r="S3" s="2271"/>
      <c r="T3" s="2272"/>
      <c r="U3" s="38"/>
      <c r="W3" s="400"/>
      <c r="X3" s="401"/>
      <c r="Y3" s="401"/>
      <c r="Z3" s="401"/>
      <c r="AA3" s="401"/>
      <c r="AB3" s="402"/>
      <c r="AE3" s="2196" t="s">
        <v>67</v>
      </c>
      <c r="AF3" s="2186" t="s">
        <v>810</v>
      </c>
      <c r="AH3" s="1"/>
      <c r="BK3" s="47" t="s">
        <v>11</v>
      </c>
      <c r="BL3" s="47">
        <f>'Data Analysis'!AB357</f>
        <v>179</v>
      </c>
    </row>
    <row r="4" spans="1:64" ht="15" customHeight="1" x14ac:dyDescent="0.4">
      <c r="A4" s="36"/>
      <c r="B4" s="36"/>
      <c r="C4" s="417"/>
      <c r="D4" s="2276" t="s">
        <v>47</v>
      </c>
      <c r="E4" s="2277"/>
      <c r="F4" s="2277"/>
      <c r="G4" s="2277"/>
      <c r="H4" s="2277"/>
      <c r="I4" s="2277"/>
      <c r="J4" s="2277"/>
      <c r="K4" s="2277"/>
      <c r="L4" s="2277"/>
      <c r="M4" s="1304"/>
      <c r="N4" s="2277" t="s">
        <v>0</v>
      </c>
      <c r="O4" s="2277"/>
      <c r="P4" s="2277"/>
      <c r="Q4" s="2277"/>
      <c r="R4" s="2277"/>
      <c r="S4" s="2277"/>
      <c r="T4" s="2278"/>
      <c r="U4" s="38"/>
      <c r="W4" s="2273" t="s">
        <v>194</v>
      </c>
      <c r="X4" s="2274"/>
      <c r="Y4" s="2274"/>
      <c r="Z4" s="2274"/>
      <c r="AA4" s="2274"/>
      <c r="AB4" s="2275"/>
      <c r="AE4" s="2196"/>
      <c r="AF4" s="2186"/>
      <c r="AH4" s="1"/>
    </row>
    <row r="5" spans="1:64" ht="15" customHeight="1" x14ac:dyDescent="0.3">
      <c r="A5" s="78"/>
      <c r="B5" s="78"/>
      <c r="C5" s="417"/>
      <c r="D5" s="1121">
        <v>0</v>
      </c>
      <c r="E5" s="1122">
        <f>D5+0.5</f>
        <v>0.5</v>
      </c>
      <c r="F5" s="1122">
        <f t="shared" ref="F5:N5" si="0">E5+0.5</f>
        <v>1</v>
      </c>
      <c r="G5" s="1122">
        <f t="shared" si="0"/>
        <v>1.5</v>
      </c>
      <c r="H5" s="1122">
        <f t="shared" si="0"/>
        <v>2</v>
      </c>
      <c r="I5" s="1122">
        <f t="shared" si="0"/>
        <v>2.5</v>
      </c>
      <c r="J5" s="1122">
        <f t="shared" si="0"/>
        <v>3</v>
      </c>
      <c r="K5" s="1122">
        <f t="shared" si="0"/>
        <v>3.5</v>
      </c>
      <c r="L5" s="1122">
        <f t="shared" si="0"/>
        <v>4</v>
      </c>
      <c r="M5" s="1122">
        <f t="shared" si="0"/>
        <v>4.5</v>
      </c>
      <c r="N5" s="1023">
        <f t="shared" si="0"/>
        <v>5</v>
      </c>
      <c r="O5" s="1023"/>
      <c r="P5" s="67"/>
      <c r="Q5" s="52"/>
      <c r="R5" s="52"/>
      <c r="S5" s="52"/>
      <c r="T5" s="80"/>
      <c r="U5" s="55"/>
      <c r="W5" s="2199" t="s">
        <v>41</v>
      </c>
      <c r="X5" s="2197" t="str">
        <f>Dashboard!P66</f>
        <v>The project has an excellent risk profile in terms of overall risk allocation and mitigation. Key risks have been identified and equitably shared to reduce the overall risk profile. There is a high degree of certainty that the proposed risk sharing will generate substantial private sector interest.</v>
      </c>
      <c r="Y5" s="2197"/>
      <c r="Z5" s="2197"/>
      <c r="AA5" s="2197"/>
      <c r="AB5" s="2198"/>
      <c r="AE5" s="2196"/>
      <c r="AF5" s="2186"/>
      <c r="AH5" s="1"/>
    </row>
    <row r="6" spans="1:64" ht="15" customHeight="1" x14ac:dyDescent="0.3">
      <c r="A6" s="36"/>
      <c r="B6" s="36"/>
      <c r="C6" s="417"/>
      <c r="D6" s="74"/>
      <c r="E6" s="1267" t="str">
        <f>Admin!D17</f>
        <v>Risk of delay in land acquisition</v>
      </c>
      <c r="F6" s="52"/>
      <c r="G6" s="52"/>
      <c r="H6" s="52"/>
      <c r="I6" s="52"/>
      <c r="J6" s="52"/>
      <c r="K6" s="52"/>
      <c r="L6" s="52"/>
      <c r="M6" s="52"/>
      <c r="N6" s="52"/>
      <c r="O6" s="52"/>
      <c r="P6" s="52"/>
      <c r="Q6" s="52"/>
      <c r="R6" s="52"/>
      <c r="S6" s="52"/>
      <c r="T6" s="80"/>
      <c r="U6" s="55"/>
      <c r="W6" s="2199"/>
      <c r="X6" s="2197"/>
      <c r="Y6" s="2197"/>
      <c r="Z6" s="2197"/>
      <c r="AA6" s="2197"/>
      <c r="AB6" s="2198"/>
      <c r="AE6" s="2196"/>
      <c r="AF6" s="2186" t="s">
        <v>430</v>
      </c>
      <c r="AH6" s="1"/>
    </row>
    <row r="7" spans="1:64" s="100" customFormat="1" ht="15" customHeight="1" x14ac:dyDescent="0.3">
      <c r="A7" s="97"/>
      <c r="B7" s="97"/>
      <c r="C7" s="418">
        <f>Admin!J17</f>
        <v>4.9999999999999991</v>
      </c>
      <c r="D7" s="1117" t="str">
        <f>IF(E6="Not Applicable","↓",IF(AND($C$7&gt;=D5,$C$7&lt;E5),"↓",""))</f>
        <v/>
      </c>
      <c r="E7" s="1118" t="str">
        <f>IF(E6="Not Applicable","",IF(AND($C$7&gt;=E5,$C$7&lt;F5),"↓",""))</f>
        <v/>
      </c>
      <c r="F7" s="1118" t="str">
        <f>IF(E6="Not Applicable","",IF(AND($C$7&gt;=F5,$C$7&lt;G5),"↓",""))</f>
        <v/>
      </c>
      <c r="G7" s="1118" t="str">
        <f>IF(E6="Not Applicable","",IF(AND($C$7&gt;=G5,$C$7&lt;H5),"↓",""))</f>
        <v/>
      </c>
      <c r="H7" s="1118" t="str">
        <f>IF(E6="Not Applicable","",IF(AND($C$7&gt;=H5,$C$7&lt;I5),"↓",""))</f>
        <v/>
      </c>
      <c r="I7" s="1118" t="str">
        <f>IF(E6="Not Applicable","",IF(AND($C$7&gt;=I5,$C$7&lt;J5),"↓",""))</f>
        <v/>
      </c>
      <c r="J7" s="1118" t="str">
        <f>IF(E6="Not Applicable","",IF(AND($C$7&gt;=J5,$C$7&lt;K5),"↓",""))</f>
        <v/>
      </c>
      <c r="K7" s="1118" t="str">
        <f>IF(E6="Not Applicable","",IF(AND($C$7&gt;=K5,$C$7&lt;L5),"↓",""))</f>
        <v/>
      </c>
      <c r="L7" s="1118" t="str">
        <f>IF(E6="Not Applicable","",IF(AND($C$7&gt;=L5,$C$7&lt;M5),"↓",""))</f>
        <v/>
      </c>
      <c r="M7" s="1118" t="str">
        <f>IF(E6="Not Applicable","",IF(AND($C$7&gt;=M5,$C$7&lt;=N5),"↓",""))</f>
        <v>↓</v>
      </c>
      <c r="N7" s="398" t="str">
        <f>IF(AND($C$7&gt;=N5,$C$7&lt;=O5),"↓","")</f>
        <v/>
      </c>
      <c r="O7" s="94"/>
      <c r="P7" s="94"/>
      <c r="Q7" s="94"/>
      <c r="R7" s="94"/>
      <c r="S7" s="94"/>
      <c r="T7" s="99"/>
      <c r="U7" s="104"/>
      <c r="W7" s="2199"/>
      <c r="X7" s="2197"/>
      <c r="Y7" s="2197"/>
      <c r="Z7" s="2197"/>
      <c r="AA7" s="2197"/>
      <c r="AB7" s="2198"/>
      <c r="AE7" s="2196"/>
      <c r="AF7" s="2186"/>
      <c r="AH7" s="633"/>
    </row>
    <row r="8" spans="1:64" ht="15" customHeight="1" x14ac:dyDescent="0.3">
      <c r="A8" s="36"/>
      <c r="B8" s="36"/>
      <c r="C8" s="417"/>
      <c r="D8" s="74"/>
      <c r="E8" s="66"/>
      <c r="F8" s="52"/>
      <c r="G8" s="52"/>
      <c r="H8" s="52"/>
      <c r="I8" s="52"/>
      <c r="J8" s="52"/>
      <c r="K8" s="52"/>
      <c r="L8" s="52"/>
      <c r="M8" s="52"/>
      <c r="N8" s="52"/>
      <c r="O8" s="52"/>
      <c r="P8" s="52"/>
      <c r="Q8" s="52"/>
      <c r="R8" s="52"/>
      <c r="S8" s="52"/>
      <c r="T8" s="80"/>
      <c r="U8" s="55"/>
      <c r="W8" s="2199"/>
      <c r="X8" s="2197"/>
      <c r="Y8" s="2197"/>
      <c r="Z8" s="2197"/>
      <c r="AA8" s="2197"/>
      <c r="AB8" s="2198"/>
      <c r="AE8" s="2196"/>
      <c r="AF8" s="2186"/>
      <c r="AH8" s="1"/>
    </row>
    <row r="9" spans="1:64" ht="15" customHeight="1" x14ac:dyDescent="0.3">
      <c r="A9" s="36"/>
      <c r="B9" s="36"/>
      <c r="C9" s="419"/>
      <c r="D9" s="74"/>
      <c r="E9" s="1267" t="str">
        <f>Admin!D18</f>
        <v>Financing Risk</v>
      </c>
      <c r="F9" s="52"/>
      <c r="G9" s="52"/>
      <c r="H9" s="52"/>
      <c r="I9" s="52"/>
      <c r="J9" s="52"/>
      <c r="K9" s="52"/>
      <c r="L9" s="52"/>
      <c r="M9" s="52"/>
      <c r="N9" s="52"/>
      <c r="O9" s="52"/>
      <c r="P9" s="52"/>
      <c r="Q9" s="52"/>
      <c r="R9" s="52"/>
      <c r="S9" s="52"/>
      <c r="T9" s="80"/>
      <c r="U9" s="55"/>
      <c r="W9" s="2199"/>
      <c r="X9" s="2197"/>
      <c r="Y9" s="2197"/>
      <c r="Z9" s="2197"/>
      <c r="AA9" s="2197"/>
      <c r="AB9" s="2198"/>
      <c r="AE9" s="2196"/>
      <c r="AF9" s="2186" t="s">
        <v>903</v>
      </c>
      <c r="AH9" s="1"/>
    </row>
    <row r="10" spans="1:64" s="100" customFormat="1" ht="13.8" x14ac:dyDescent="0.3">
      <c r="A10" s="97"/>
      <c r="B10" s="97"/>
      <c r="C10" s="418">
        <f>Admin!J18</f>
        <v>5</v>
      </c>
      <c r="D10" s="1117" t="str">
        <f t="shared" ref="D10:L10" si="1">IF(AND($C$10&gt;=D5,$C$10&lt;E5),"↓","")</f>
        <v/>
      </c>
      <c r="E10" s="1118" t="str">
        <f t="shared" si="1"/>
        <v/>
      </c>
      <c r="F10" s="1118" t="str">
        <f t="shared" si="1"/>
        <v/>
      </c>
      <c r="G10" s="1118" t="str">
        <f t="shared" si="1"/>
        <v/>
      </c>
      <c r="H10" s="1118" t="str">
        <f t="shared" si="1"/>
        <v/>
      </c>
      <c r="I10" s="1118" t="str">
        <f t="shared" si="1"/>
        <v/>
      </c>
      <c r="J10" s="1118" t="str">
        <f t="shared" si="1"/>
        <v/>
      </c>
      <c r="K10" s="1118" t="str">
        <f t="shared" si="1"/>
        <v/>
      </c>
      <c r="L10" s="1118" t="str">
        <f t="shared" si="1"/>
        <v/>
      </c>
      <c r="M10" s="1118" t="str">
        <f>IF(AND($C$10&gt;=M5,$C$10&lt;=N5),"↓","")</f>
        <v>↓</v>
      </c>
      <c r="N10" s="103"/>
      <c r="O10" s="94"/>
      <c r="P10" s="94"/>
      <c r="Q10" s="94"/>
      <c r="R10" s="94"/>
      <c r="S10" s="94"/>
      <c r="T10" s="99"/>
      <c r="U10" s="104"/>
      <c r="W10" s="2199"/>
      <c r="X10" s="2197"/>
      <c r="Y10" s="2197"/>
      <c r="Z10" s="2197"/>
      <c r="AA10" s="2197"/>
      <c r="AB10" s="2198"/>
      <c r="AE10" s="2196"/>
      <c r="AF10" s="2186"/>
      <c r="AH10" s="633"/>
    </row>
    <row r="11" spans="1:64" ht="15" customHeight="1" x14ac:dyDescent="0.3">
      <c r="A11" s="36"/>
      <c r="B11" s="36"/>
      <c r="C11" s="417"/>
      <c r="D11" s="74"/>
      <c r="E11" s="66"/>
      <c r="F11" s="52"/>
      <c r="G11" s="52"/>
      <c r="H11" s="52"/>
      <c r="I11" s="52"/>
      <c r="J11" s="52"/>
      <c r="K11" s="52"/>
      <c r="L11" s="52"/>
      <c r="M11" s="52"/>
      <c r="N11" s="52"/>
      <c r="O11" s="52"/>
      <c r="P11" s="52"/>
      <c r="Q11" s="52"/>
      <c r="R11" s="52"/>
      <c r="S11" s="52"/>
      <c r="T11" s="80"/>
      <c r="U11" s="55"/>
      <c r="W11" s="2199"/>
      <c r="X11" s="2197"/>
      <c r="Y11" s="2197"/>
      <c r="Z11" s="2197"/>
      <c r="AA11" s="2197"/>
      <c r="AB11" s="2198"/>
      <c r="AE11" s="2196"/>
      <c r="AF11" s="2186"/>
      <c r="AH11" s="1"/>
    </row>
    <row r="12" spans="1:64" ht="15" customHeight="1" x14ac:dyDescent="0.3">
      <c r="A12" s="36"/>
      <c r="B12" s="36"/>
      <c r="C12" s="417"/>
      <c r="D12" s="74"/>
      <c r="E12" s="1267" t="str">
        <f>Admin!D19</f>
        <v xml:space="preserve">Design and Construction Risk </v>
      </c>
      <c r="F12" s="52"/>
      <c r="G12" s="52"/>
      <c r="H12" s="52"/>
      <c r="I12" s="52"/>
      <c r="J12" s="52"/>
      <c r="K12" s="52"/>
      <c r="L12" s="52"/>
      <c r="M12" s="52"/>
      <c r="N12" s="52"/>
      <c r="O12" s="52"/>
      <c r="P12" s="52"/>
      <c r="Q12" s="52"/>
      <c r="R12" s="52"/>
      <c r="S12" s="52"/>
      <c r="T12" s="80"/>
      <c r="U12" s="55"/>
      <c r="W12" s="2199"/>
      <c r="X12" s="2197"/>
      <c r="Y12" s="2197"/>
      <c r="Z12" s="2197"/>
      <c r="AA12" s="2197"/>
      <c r="AB12" s="2198"/>
      <c r="AE12" s="2196"/>
      <c r="AF12" s="2186" t="s">
        <v>884</v>
      </c>
      <c r="AH12" s="1"/>
    </row>
    <row r="13" spans="1:64" s="100" customFormat="1" ht="15" customHeight="1" x14ac:dyDescent="0.3">
      <c r="A13" s="97"/>
      <c r="B13" s="97"/>
      <c r="C13" s="418">
        <f>Admin!J19</f>
        <v>4.9999999999999991</v>
      </c>
      <c r="D13" s="1117" t="str">
        <f t="shared" ref="D13" si="2">IF(AND($C$13&gt;=D5,$C$13&lt;E5),"↓","")</f>
        <v/>
      </c>
      <c r="E13" s="1118" t="str">
        <f t="shared" ref="E13" si="3">IF(AND($C$13&gt;=E5,$C$13&lt;F5),"↓","")</f>
        <v/>
      </c>
      <c r="F13" s="1118" t="str">
        <f t="shared" ref="F13" si="4">IF(AND($C$13&gt;=F5,$C$13&lt;G5),"↓","")</f>
        <v/>
      </c>
      <c r="G13" s="1118" t="str">
        <f t="shared" ref="G13" si="5">IF(AND($C$13&gt;=G5,$C$13&lt;H5),"↓","")</f>
        <v/>
      </c>
      <c r="H13" s="1118" t="str">
        <f t="shared" ref="H13" si="6">IF(AND($C$13&gt;=H5,$C$13&lt;I5),"↓","")</f>
        <v/>
      </c>
      <c r="I13" s="1118" t="str">
        <f t="shared" ref="I13" si="7">IF(AND($C$13&gt;=I5,$C$13&lt;J5),"↓","")</f>
        <v/>
      </c>
      <c r="J13" s="1118" t="str">
        <f t="shared" ref="J13" si="8">IF(AND($C$13&gt;=J5,$C$13&lt;K5),"↓","")</f>
        <v/>
      </c>
      <c r="K13" s="1118" t="str">
        <f t="shared" ref="K13" si="9">IF(AND($C$13&gt;=K5,$C$13&lt;L5),"↓","")</f>
        <v/>
      </c>
      <c r="L13" s="1118" t="str">
        <f t="shared" ref="L13" si="10">IF(AND($C$13&gt;=L5,$C$13&lt;M5),"↓","")</f>
        <v/>
      </c>
      <c r="M13" s="1118" t="str">
        <f>IF(AND($C$13&gt;=M5,$C$13&lt;=N5),"↓","")</f>
        <v>↓</v>
      </c>
      <c r="N13" s="103"/>
      <c r="O13" s="94"/>
      <c r="P13" s="94"/>
      <c r="Q13" s="94"/>
      <c r="R13" s="94"/>
      <c r="S13" s="94"/>
      <c r="T13" s="99"/>
      <c r="U13" s="104"/>
      <c r="W13" s="2199"/>
      <c r="X13" s="2197"/>
      <c r="Y13" s="2197"/>
      <c r="Z13" s="2197"/>
      <c r="AA13" s="2197"/>
      <c r="AB13" s="2198"/>
      <c r="AE13" s="2196"/>
      <c r="AF13" s="2186"/>
      <c r="AH13" s="633"/>
    </row>
    <row r="14" spans="1:64" ht="15" customHeight="1" x14ac:dyDescent="0.3">
      <c r="A14" s="36"/>
      <c r="B14" s="36"/>
      <c r="C14" s="417"/>
      <c r="D14" s="74"/>
      <c r="E14" s="66"/>
      <c r="F14" s="52"/>
      <c r="G14" s="52"/>
      <c r="H14" s="52"/>
      <c r="I14" s="52"/>
      <c r="J14" s="52"/>
      <c r="K14" s="52"/>
      <c r="L14" s="52"/>
      <c r="M14" s="52"/>
      <c r="N14" s="52"/>
      <c r="O14" s="52"/>
      <c r="P14" s="52"/>
      <c r="Q14" s="52"/>
      <c r="R14" s="52"/>
      <c r="S14" s="52"/>
      <c r="T14" s="80"/>
      <c r="U14" s="55"/>
      <c r="W14" s="2190" t="s">
        <v>292</v>
      </c>
      <c r="X14" s="2191"/>
      <c r="Y14" s="2191"/>
      <c r="Z14" s="2191"/>
      <c r="AA14" s="2191"/>
      <c r="AB14" s="2192"/>
      <c r="AE14" s="2196"/>
      <c r="AF14" s="2186"/>
      <c r="AH14" s="1"/>
    </row>
    <row r="15" spans="1:64" ht="15" customHeight="1" x14ac:dyDescent="0.3">
      <c r="A15" s="36"/>
      <c r="B15" s="36"/>
      <c r="C15" s="417"/>
      <c r="D15" s="74"/>
      <c r="E15" s="1265" t="str">
        <f>Admin!D20</f>
        <v>Operations and Maintenance Risk</v>
      </c>
      <c r="F15" s="52"/>
      <c r="G15" s="52"/>
      <c r="H15" s="52"/>
      <c r="I15" s="52"/>
      <c r="J15" s="52"/>
      <c r="K15" s="52"/>
      <c r="L15" s="52"/>
      <c r="M15" s="52"/>
      <c r="N15" s="52"/>
      <c r="O15" s="52"/>
      <c r="P15" s="52"/>
      <c r="Q15" s="52"/>
      <c r="R15" s="52"/>
      <c r="S15" s="52"/>
      <c r="T15" s="80"/>
      <c r="U15" s="55"/>
      <c r="W15" s="2199" t="s">
        <v>41</v>
      </c>
      <c r="X15" s="2197" t="str">
        <f>Dashboard!W66</f>
        <v xml:space="preserve">                     .</v>
      </c>
      <c r="Y15" s="2197"/>
      <c r="Z15" s="2197"/>
      <c r="AA15" s="2197"/>
      <c r="AB15" s="2198"/>
      <c r="AC15" s="126"/>
      <c r="AD15" s="559"/>
      <c r="AH15" s="1"/>
    </row>
    <row r="16" spans="1:64" ht="15" customHeight="1" x14ac:dyDescent="0.3">
      <c r="A16" s="36"/>
      <c r="B16" s="36"/>
      <c r="C16" s="419">
        <f>Admin!J20</f>
        <v>5</v>
      </c>
      <c r="D16" s="1119" t="str">
        <f t="shared" ref="D16" si="11">IF(AND($C$16&gt;=D5,$C$16&lt;E5),"↓","")</f>
        <v/>
      </c>
      <c r="E16" s="1110" t="str">
        <f t="shared" ref="E16" si="12">IF(AND($C$16&gt;=E5,$C$16&lt;F5),"↓","")</f>
        <v/>
      </c>
      <c r="F16" s="1110" t="str">
        <f t="shared" ref="F16" si="13">IF(AND($C$16&gt;=F5,$C$16&lt;G5),"↓","")</f>
        <v/>
      </c>
      <c r="G16" s="1110" t="str">
        <f t="shared" ref="G16" si="14">IF(AND($C$16&gt;=G5,$C$16&lt;H5),"↓","")</f>
        <v/>
      </c>
      <c r="H16" s="1110" t="str">
        <f t="shared" ref="H16" si="15">IF(AND($C$16&gt;=H5,$C$16&lt;I5),"↓","")</f>
        <v/>
      </c>
      <c r="I16" s="1110" t="str">
        <f t="shared" ref="I16" si="16">IF(AND($C$16&gt;=I5,$C$16&lt;J5),"↓","")</f>
        <v/>
      </c>
      <c r="J16" s="1110" t="str">
        <f t="shared" ref="J16" si="17">IF(AND($C$16&gt;=J5,$C$16&lt;K5),"↓","")</f>
        <v/>
      </c>
      <c r="K16" s="1110" t="str">
        <f t="shared" ref="K16" si="18">IF(AND($C$16&gt;=K5,$C$16&lt;L5),"↓","")</f>
        <v/>
      </c>
      <c r="L16" s="1110" t="str">
        <f t="shared" ref="L16" si="19">IF(AND($C$16&gt;=L5,$C$16&lt;M5),"↓","")</f>
        <v/>
      </c>
      <c r="M16" s="1111" t="str">
        <f>IF(AND($C$16&gt;=M5,$C$16&lt;=N5),"↓","")</f>
        <v>↓</v>
      </c>
      <c r="N16" s="66"/>
      <c r="O16" s="52"/>
      <c r="P16" s="52"/>
      <c r="Q16" s="52"/>
      <c r="R16" s="52"/>
      <c r="S16" s="52"/>
      <c r="T16" s="80"/>
      <c r="U16" s="55"/>
      <c r="W16" s="2199"/>
      <c r="X16" s="2197"/>
      <c r="Y16" s="2197"/>
      <c r="Z16" s="2197"/>
      <c r="AA16" s="2197"/>
      <c r="AB16" s="2198"/>
      <c r="AC16" s="126"/>
      <c r="AD16" s="559"/>
      <c r="AH16" s="1"/>
    </row>
    <row r="17" spans="1:34" ht="15" customHeight="1" x14ac:dyDescent="0.3">
      <c r="A17" s="36"/>
      <c r="B17" s="36"/>
      <c r="C17" s="417"/>
      <c r="D17" s="74"/>
      <c r="E17" s="66"/>
      <c r="F17" s="52"/>
      <c r="G17" s="52"/>
      <c r="H17" s="52"/>
      <c r="I17" s="52"/>
      <c r="J17" s="52"/>
      <c r="K17" s="52"/>
      <c r="L17" s="52"/>
      <c r="M17" s="52"/>
      <c r="N17" s="52"/>
      <c r="O17" s="52"/>
      <c r="P17" s="52"/>
      <c r="Q17" s="52"/>
      <c r="R17" s="52"/>
      <c r="S17" s="52"/>
      <c r="T17" s="80"/>
      <c r="U17" s="55"/>
      <c r="W17" s="2199"/>
      <c r="X17" s="2197"/>
      <c r="Y17" s="2197"/>
      <c r="Z17" s="2197"/>
      <c r="AA17" s="2197"/>
      <c r="AB17" s="2198"/>
      <c r="AC17" s="126"/>
      <c r="AD17" s="559"/>
      <c r="AH17" s="1"/>
    </row>
    <row r="18" spans="1:34" ht="15" customHeight="1" x14ac:dyDescent="0.3">
      <c r="A18" s="36"/>
      <c r="B18" s="36"/>
      <c r="C18" s="417"/>
      <c r="D18" s="74"/>
      <c r="E18" s="1265" t="str">
        <f>Admin!D21</f>
        <v>Market Risk and Demand Risk</v>
      </c>
      <c r="F18" s="52"/>
      <c r="G18" s="52"/>
      <c r="H18" s="52"/>
      <c r="I18" s="52"/>
      <c r="J18" s="52"/>
      <c r="K18" s="52"/>
      <c r="L18" s="52"/>
      <c r="M18" s="52"/>
      <c r="N18" s="52"/>
      <c r="O18" s="2184" t="str">
        <f>'Data Analysis'!F413</f>
        <v>Very Strong</v>
      </c>
      <c r="P18" s="2184"/>
      <c r="Q18" s="2184"/>
      <c r="R18" s="1261"/>
      <c r="S18" s="2247">
        <f>'Data Analysis'!E413</f>
        <v>5</v>
      </c>
      <c r="T18" s="80"/>
      <c r="U18" s="55"/>
      <c r="W18" s="2199"/>
      <c r="X18" s="2197"/>
      <c r="Y18" s="2197"/>
      <c r="Z18" s="2197"/>
      <c r="AA18" s="2197"/>
      <c r="AB18" s="2198"/>
      <c r="AC18" s="126"/>
      <c r="AD18" s="559"/>
      <c r="AH18" s="1"/>
    </row>
    <row r="19" spans="1:34" ht="15" customHeight="1" x14ac:dyDescent="0.3">
      <c r="A19" s="36"/>
      <c r="B19" s="36"/>
      <c r="C19" s="419">
        <f>Admin!J21</f>
        <v>4.9999999999999991</v>
      </c>
      <c r="D19" s="1119" t="str">
        <f t="shared" ref="D19" si="20">IF(AND($C$19&gt;=D5,$C$19&lt;E5),"↓","")</f>
        <v/>
      </c>
      <c r="E19" s="1110" t="str">
        <f t="shared" ref="E19" si="21">IF(AND($C$19&gt;=E5,$C$19&lt;F5),"↓","")</f>
        <v/>
      </c>
      <c r="F19" s="1110" t="str">
        <f t="shared" ref="F19" si="22">IF(AND($C$19&gt;=F5,$C$19&lt;G5),"↓","")</f>
        <v/>
      </c>
      <c r="G19" s="1110" t="str">
        <f t="shared" ref="G19" si="23">IF(AND($C$19&gt;=G5,$C$19&lt;H5),"↓","")</f>
        <v/>
      </c>
      <c r="H19" s="1110" t="str">
        <f t="shared" ref="H19" si="24">IF(AND($C$19&gt;=H5,$C$19&lt;I5),"↓","")</f>
        <v/>
      </c>
      <c r="I19" s="1110" t="str">
        <f t="shared" ref="I19" si="25">IF(AND($C$19&gt;=I5,$C$19&lt;J5),"↓","")</f>
        <v/>
      </c>
      <c r="J19" s="1110" t="str">
        <f t="shared" ref="J19" si="26">IF(AND($C$19&gt;=J5,$C$19&lt;K5),"↓","")</f>
        <v/>
      </c>
      <c r="K19" s="1110" t="str">
        <f t="shared" ref="K19" si="27">IF(AND($C$19&gt;=K5,$C$19&lt;L5),"↓","")</f>
        <v/>
      </c>
      <c r="L19" s="1110" t="str">
        <f t="shared" ref="L19" si="28">IF(AND($C$19&gt;=L5,$C$19&lt;M5),"↓","")</f>
        <v/>
      </c>
      <c r="M19" s="1110" t="str">
        <f>IF(OR(AND($C$19&gt;=M5,$C$19&lt;=N5),$C$19&gt;N5),"↓","")</f>
        <v>↓</v>
      </c>
      <c r="N19" s="66"/>
      <c r="O19" s="2184"/>
      <c r="P19" s="2184"/>
      <c r="Q19" s="2184"/>
      <c r="R19" s="1261"/>
      <c r="S19" s="2247"/>
      <c r="T19" s="80"/>
      <c r="U19" s="55"/>
      <c r="W19" s="2199"/>
      <c r="X19" s="2197"/>
      <c r="Y19" s="2197"/>
      <c r="Z19" s="2197"/>
      <c r="AA19" s="2197"/>
      <c r="AB19" s="2198"/>
      <c r="AC19" s="126"/>
      <c r="AD19" s="559"/>
      <c r="AH19" s="1"/>
    </row>
    <row r="20" spans="1:34" ht="15" customHeight="1" x14ac:dyDescent="0.3">
      <c r="A20" s="36"/>
      <c r="B20" s="36"/>
      <c r="C20" s="417"/>
      <c r="D20" s="1123"/>
      <c r="E20" s="222"/>
      <c r="F20" s="222"/>
      <c r="G20" s="222"/>
      <c r="H20" s="222"/>
      <c r="I20" s="222"/>
      <c r="J20" s="222"/>
      <c r="K20" s="222"/>
      <c r="L20" s="222"/>
      <c r="M20" s="222"/>
      <c r="N20" s="52"/>
      <c r="O20" s="2184"/>
      <c r="P20" s="2184"/>
      <c r="Q20" s="2184"/>
      <c r="R20" s="1261"/>
      <c r="S20" s="2247"/>
      <c r="T20" s="80"/>
      <c r="U20" s="55"/>
      <c r="W20" s="2199"/>
      <c r="X20" s="2197"/>
      <c r="Y20" s="2197"/>
      <c r="Z20" s="2197"/>
      <c r="AA20" s="2197"/>
      <c r="AB20" s="2198"/>
      <c r="AC20" s="126"/>
      <c r="AD20" s="559"/>
      <c r="AH20" s="1"/>
    </row>
    <row r="21" spans="1:34" ht="15" customHeight="1" x14ac:dyDescent="0.4">
      <c r="A21" s="36"/>
      <c r="B21" s="36"/>
      <c r="C21" s="417"/>
      <c r="D21" s="1123"/>
      <c r="E21" s="1266" t="str">
        <f>Admin!D22</f>
        <v>Off Taker Risk</v>
      </c>
      <c r="F21" s="222"/>
      <c r="G21" s="222"/>
      <c r="H21" s="222"/>
      <c r="I21" s="222"/>
      <c r="J21" s="222"/>
      <c r="K21" s="222"/>
      <c r="L21" s="222"/>
      <c r="M21" s="222"/>
      <c r="N21" s="4"/>
      <c r="O21" s="1259"/>
      <c r="P21" s="52"/>
      <c r="Q21" s="52"/>
      <c r="R21" s="52"/>
      <c r="S21" s="1260"/>
      <c r="T21" s="80"/>
      <c r="U21" s="55"/>
      <c r="W21" s="2199"/>
      <c r="X21" s="2197"/>
      <c r="Y21" s="2197"/>
      <c r="Z21" s="2197"/>
      <c r="AA21" s="2197"/>
      <c r="AB21" s="2198"/>
      <c r="AC21" s="208"/>
      <c r="AD21" s="559"/>
      <c r="AH21" s="1"/>
    </row>
    <row r="22" spans="1:34" ht="15" customHeight="1" x14ac:dyDescent="0.3">
      <c r="A22" s="36"/>
      <c r="B22" s="36"/>
      <c r="C22" s="419">
        <f>Admin!J22</f>
        <v>5</v>
      </c>
      <c r="D22" s="1117" t="str">
        <f>IF(AND($C$22&gt;=D5,$C$22&lt;E5),"↓","")</f>
        <v/>
      </c>
      <c r="E22" s="1118" t="str">
        <f t="shared" ref="E22:L22" si="29">IF(AND($C$22&gt;=E5,$C$22&lt;F5),"↓","")</f>
        <v/>
      </c>
      <c r="F22" s="1118" t="str">
        <f t="shared" si="29"/>
        <v/>
      </c>
      <c r="G22" s="1118" t="str">
        <f t="shared" si="29"/>
        <v/>
      </c>
      <c r="H22" s="1118" t="str">
        <f t="shared" si="29"/>
        <v/>
      </c>
      <c r="I22" s="1118" t="str">
        <f t="shared" si="29"/>
        <v/>
      </c>
      <c r="J22" s="1118" t="str">
        <f t="shared" si="29"/>
        <v/>
      </c>
      <c r="K22" s="1118" t="str">
        <f t="shared" si="29"/>
        <v/>
      </c>
      <c r="L22" s="1118" t="str">
        <f t="shared" si="29"/>
        <v/>
      </c>
      <c r="M22" s="1118" t="str">
        <f>IF(AND($C$22&gt;=M5,$C$22&lt;=N5),"↓","")</f>
        <v>↓</v>
      </c>
      <c r="N22" s="52"/>
      <c r="O22" s="52"/>
      <c r="P22" s="52"/>
      <c r="Q22" s="52"/>
      <c r="R22" s="52"/>
      <c r="S22" s="52"/>
      <c r="T22" s="80"/>
      <c r="U22" s="55"/>
      <c r="W22" s="2199"/>
      <c r="X22" s="2197"/>
      <c r="Y22" s="2197"/>
      <c r="Z22" s="2197"/>
      <c r="AA22" s="2197"/>
      <c r="AB22" s="2198"/>
      <c r="AC22" s="208"/>
      <c r="AD22" s="559"/>
      <c r="AH22" s="1"/>
    </row>
    <row r="23" spans="1:34" ht="15" customHeight="1" x14ac:dyDescent="0.3">
      <c r="A23" s="36"/>
      <c r="B23" s="36"/>
      <c r="C23" s="417"/>
      <c r="D23" s="1123"/>
      <c r="E23" s="222"/>
      <c r="F23" s="222"/>
      <c r="G23" s="222"/>
      <c r="H23" s="222"/>
      <c r="I23" s="222"/>
      <c r="J23" s="222"/>
      <c r="K23" s="222"/>
      <c r="L23" s="222"/>
      <c r="M23" s="222"/>
      <c r="N23" s="52"/>
      <c r="O23" s="52"/>
      <c r="P23" s="52"/>
      <c r="Q23" s="52"/>
      <c r="R23" s="52"/>
      <c r="S23" s="52"/>
      <c r="T23" s="80"/>
      <c r="U23" s="55"/>
      <c r="W23" s="2187" t="s">
        <v>302</v>
      </c>
      <c r="X23" s="2188"/>
      <c r="Y23" s="2188"/>
      <c r="Z23" s="2188"/>
      <c r="AA23" s="2188"/>
      <c r="AB23" s="2189"/>
      <c r="AC23" s="208"/>
      <c r="AD23" s="559"/>
      <c r="AH23" s="1"/>
    </row>
    <row r="24" spans="1:34" ht="15" customHeight="1" x14ac:dyDescent="0.3">
      <c r="A24" s="36"/>
      <c r="B24" s="36"/>
      <c r="D24" s="1123"/>
      <c r="E24" s="1266" t="str">
        <f>Admin!D23</f>
        <v>Foreign Exchange Risk</v>
      </c>
      <c r="F24" s="222"/>
      <c r="G24" s="222"/>
      <c r="H24" s="222"/>
      <c r="I24" s="222"/>
      <c r="J24" s="222"/>
      <c r="K24" s="222"/>
      <c r="L24" s="222"/>
      <c r="M24" s="222"/>
      <c r="N24" s="66"/>
      <c r="O24" s="52"/>
      <c r="P24" s="52"/>
      <c r="Q24" s="52"/>
      <c r="R24" s="52"/>
      <c r="S24" s="52"/>
      <c r="T24" s="80"/>
      <c r="U24" s="55"/>
      <c r="W24" s="92"/>
      <c r="X24" s="267" t="s">
        <v>274</v>
      </c>
      <c r="Y24" s="314"/>
      <c r="Z24" s="314"/>
      <c r="AA24" s="315"/>
      <c r="AB24" s="406">
        <f>Dashboard!O67</f>
        <v>0</v>
      </c>
      <c r="AC24" s="126"/>
      <c r="AD24" s="559"/>
      <c r="AH24" s="1"/>
    </row>
    <row r="25" spans="1:34" ht="15" customHeight="1" x14ac:dyDescent="0.3">
      <c r="A25" s="36"/>
      <c r="B25" s="36"/>
      <c r="C25" s="419">
        <f>'Data Analysis'!M398</f>
        <v>5</v>
      </c>
      <c r="D25" s="1117" t="str">
        <f>IF(AND($C$25&gt;=D5,$C$25&lt;E5),"↓","")</f>
        <v/>
      </c>
      <c r="E25" s="1118" t="str">
        <f>IF(AND($C$25&gt;=E5,$C$25&lt;F5),"↓","")</f>
        <v/>
      </c>
      <c r="F25" s="1118" t="str">
        <f t="shared" ref="F25:L25" si="30">IF(AND($C$25&gt;=F5,$C$25&lt;G5),"↓","")</f>
        <v/>
      </c>
      <c r="G25" s="1118" t="str">
        <f t="shared" si="30"/>
        <v/>
      </c>
      <c r="H25" s="1118" t="str">
        <f t="shared" si="30"/>
        <v/>
      </c>
      <c r="I25" s="1118" t="str">
        <f t="shared" si="30"/>
        <v/>
      </c>
      <c r="J25" s="1118" t="str">
        <f t="shared" si="30"/>
        <v/>
      </c>
      <c r="K25" s="1118" t="str">
        <f t="shared" si="30"/>
        <v/>
      </c>
      <c r="L25" s="1118" t="str">
        <f t="shared" si="30"/>
        <v/>
      </c>
      <c r="M25" s="1118" t="str">
        <f>IF(AND($C$25&gt;=M5,$C$25&lt;=N5),"↓","")</f>
        <v>↓</v>
      </c>
      <c r="N25" s="52"/>
      <c r="O25" s="2179" t="str">
        <f>IF('Data Analysis'!G264=1,"WARNING! 
Potential Deal Breaker Triggered","")</f>
        <v/>
      </c>
      <c r="P25" s="2179"/>
      <c r="Q25" s="2179"/>
      <c r="R25" s="2179"/>
      <c r="S25" s="2179"/>
      <c r="T25" s="80"/>
      <c r="U25" s="55"/>
      <c r="W25" s="246"/>
      <c r="X25" s="267" t="s">
        <v>275</v>
      </c>
      <c r="Y25" s="314"/>
      <c r="Z25" s="314"/>
      <c r="AA25" s="315"/>
      <c r="AB25" s="406">
        <f>Dashboard!O68</f>
        <v>0</v>
      </c>
      <c r="AC25" s="126"/>
      <c r="AD25" s="559"/>
      <c r="AH25" s="1"/>
    </row>
    <row r="26" spans="1:34" ht="15" customHeight="1" x14ac:dyDescent="0.3">
      <c r="A26" s="36"/>
      <c r="B26" s="36"/>
      <c r="C26" s="416"/>
      <c r="D26" s="1123"/>
      <c r="E26" s="222"/>
      <c r="F26" s="222"/>
      <c r="G26" s="222"/>
      <c r="H26" s="222"/>
      <c r="I26" s="222"/>
      <c r="J26" s="222"/>
      <c r="K26" s="222"/>
      <c r="L26" s="222"/>
      <c r="M26" s="222"/>
      <c r="N26" s="4"/>
      <c r="O26" s="2179"/>
      <c r="P26" s="2179"/>
      <c r="Q26" s="2179"/>
      <c r="R26" s="2179"/>
      <c r="S26" s="2179"/>
      <c r="T26" s="80"/>
      <c r="U26" s="55"/>
      <c r="W26" s="246"/>
      <c r="X26" s="267" t="s">
        <v>472</v>
      </c>
      <c r="Y26" s="314"/>
      <c r="Z26" s="314"/>
      <c r="AA26" s="315"/>
      <c r="AB26" s="1838">
        <f>'Data Analysis'!Q267</f>
        <v>0</v>
      </c>
      <c r="AC26" s="1838">
        <f>'Data Analysis'!P269</f>
        <v>0</v>
      </c>
      <c r="AD26" s="559"/>
      <c r="AH26" s="1"/>
    </row>
    <row r="27" spans="1:34" ht="15" customHeight="1" x14ac:dyDescent="0.3">
      <c r="A27" s="36"/>
      <c r="B27" s="36"/>
      <c r="C27" s="416"/>
      <c r="D27" s="74"/>
      <c r="E27" s="1265" t="str">
        <f>Admin!D24</f>
        <v>Environmental and Social Risk</v>
      </c>
      <c r="F27" s="52"/>
      <c r="G27" s="52"/>
      <c r="H27" s="52"/>
      <c r="I27" s="52"/>
      <c r="J27" s="52"/>
      <c r="K27" s="52"/>
      <c r="L27" s="52"/>
      <c r="M27" s="52"/>
      <c r="N27" s="4"/>
      <c r="O27" s="2179"/>
      <c r="P27" s="2179"/>
      <c r="Q27" s="2179"/>
      <c r="R27" s="2179"/>
      <c r="S27" s="2179"/>
      <c r="T27" s="80"/>
      <c r="U27" s="55"/>
      <c r="W27" s="246"/>
      <c r="X27" s="267" t="s">
        <v>485</v>
      </c>
      <c r="Y27" s="314"/>
      <c r="Z27" s="314"/>
      <c r="AA27" s="315"/>
      <c r="AB27" s="1838">
        <f>'Data Analysis'!Q269</f>
        <v>0</v>
      </c>
      <c r="AC27" s="1838">
        <f>'Data Analysis'!P271</f>
        <v>0</v>
      </c>
      <c r="AD27" s="1109"/>
      <c r="AH27" s="1"/>
    </row>
    <row r="28" spans="1:34" ht="15" customHeight="1" thickBot="1" x14ac:dyDescent="0.35">
      <c r="A28" s="36"/>
      <c r="B28" s="36"/>
      <c r="C28" s="419">
        <f>Admin!J24</f>
        <v>5</v>
      </c>
      <c r="D28" s="1119" t="str">
        <f t="shared" ref="D28:L28" si="31">IF(AND($C$28&gt;=D5,$C$28&lt;E5),"↓","")</f>
        <v/>
      </c>
      <c r="E28" s="1110" t="str">
        <f t="shared" si="31"/>
        <v/>
      </c>
      <c r="F28" s="1110" t="str">
        <f t="shared" si="31"/>
        <v/>
      </c>
      <c r="G28" s="1110" t="str">
        <f t="shared" si="31"/>
        <v/>
      </c>
      <c r="H28" s="1110" t="str">
        <f t="shared" si="31"/>
        <v/>
      </c>
      <c r="I28" s="1110" t="str">
        <f t="shared" si="31"/>
        <v/>
      </c>
      <c r="J28" s="1110" t="str">
        <f t="shared" si="31"/>
        <v/>
      </c>
      <c r="K28" s="1110" t="str">
        <f t="shared" si="31"/>
        <v/>
      </c>
      <c r="L28" s="1110" t="str">
        <f t="shared" si="31"/>
        <v/>
      </c>
      <c r="M28" s="1110" t="str">
        <f>IF(AND($C$28&gt;=M5,$C$28&lt;=N5),"↓","")</f>
        <v>↓</v>
      </c>
      <c r="N28" s="4"/>
      <c r="O28" s="2179"/>
      <c r="P28" s="2179"/>
      <c r="Q28" s="2179"/>
      <c r="R28" s="2179"/>
      <c r="S28" s="2179"/>
      <c r="T28" s="80"/>
      <c r="U28" s="55"/>
      <c r="W28" s="246"/>
      <c r="X28" s="267" t="s">
        <v>486</v>
      </c>
      <c r="Y28" s="314"/>
      <c r="Z28" s="314"/>
      <c r="AA28" s="315"/>
      <c r="AB28" s="1838">
        <f>'Data Analysis'!Q268</f>
        <v>0</v>
      </c>
      <c r="AC28" s="1845">
        <f>'Data Analysis'!P270</f>
        <v>0</v>
      </c>
      <c r="AD28" s="1109"/>
      <c r="AH28" s="1"/>
    </row>
    <row r="29" spans="1:34" ht="15" customHeight="1" x14ac:dyDescent="0.3">
      <c r="A29" s="36"/>
      <c r="B29" s="36"/>
      <c r="C29" s="416"/>
      <c r="D29" s="14"/>
      <c r="E29" s="66"/>
      <c r="F29" s="52"/>
      <c r="G29" s="52"/>
      <c r="H29" s="52"/>
      <c r="I29" s="52"/>
      <c r="J29" s="52"/>
      <c r="K29" s="52"/>
      <c r="L29" s="52"/>
      <c r="M29" s="52"/>
      <c r="N29" s="4"/>
      <c r="O29" s="2179"/>
      <c r="P29" s="2179"/>
      <c r="Q29" s="2179"/>
      <c r="R29" s="2179"/>
      <c r="S29" s="2179"/>
      <c r="T29" s="80"/>
      <c r="U29" s="55"/>
      <c r="W29" s="246"/>
      <c r="X29" s="408"/>
      <c r="Y29" s="314"/>
      <c r="Z29" s="314"/>
      <c r="AA29" s="315"/>
      <c r="AB29" s="407"/>
      <c r="AC29" s="1109"/>
      <c r="AD29" s="1109"/>
      <c r="AH29" s="1"/>
    </row>
    <row r="30" spans="1:34" ht="15" customHeight="1" x14ac:dyDescent="0.3">
      <c r="A30" s="36"/>
      <c r="B30" s="36"/>
      <c r="C30" s="416"/>
      <c r="D30" s="14"/>
      <c r="E30" s="66"/>
      <c r="F30" s="52"/>
      <c r="G30" s="52"/>
      <c r="H30" s="52"/>
      <c r="I30" s="52"/>
      <c r="J30" s="52"/>
      <c r="K30" s="52"/>
      <c r="L30" s="52"/>
      <c r="M30" s="52"/>
      <c r="N30" s="4"/>
      <c r="O30" s="2179"/>
      <c r="P30" s="2179"/>
      <c r="Q30" s="2179"/>
      <c r="R30" s="2179"/>
      <c r="S30" s="2179"/>
      <c r="T30" s="80"/>
      <c r="U30" s="55"/>
      <c r="W30" s="399"/>
      <c r="X30" s="182"/>
      <c r="Y30" s="182"/>
      <c r="Z30" s="182"/>
      <c r="AA30" s="182"/>
      <c r="AB30" s="187"/>
      <c r="AC30" s="208"/>
      <c r="AD30" s="559"/>
      <c r="AH30" s="1"/>
    </row>
    <row r="31" spans="1:34" ht="15" customHeight="1" thickBot="1" x14ac:dyDescent="0.35">
      <c r="A31" s="36"/>
      <c r="B31" s="36"/>
      <c r="C31" s="91"/>
      <c r="D31" s="238"/>
      <c r="E31" s="254"/>
      <c r="F31" s="81"/>
      <c r="G31" s="81"/>
      <c r="H31" s="81"/>
      <c r="I31" s="81"/>
      <c r="J31" s="81"/>
      <c r="K31" s="81"/>
      <c r="L31" s="81"/>
      <c r="M31" s="81"/>
      <c r="N31" s="81"/>
      <c r="O31" s="81"/>
      <c r="P31" s="81"/>
      <c r="Q31" s="81"/>
      <c r="R31" s="81"/>
      <c r="S31" s="81"/>
      <c r="T31" s="255"/>
      <c r="U31" s="55"/>
      <c r="W31" s="403"/>
      <c r="X31" s="404"/>
      <c r="Y31" s="404"/>
      <c r="Z31" s="404"/>
      <c r="AA31" s="404"/>
      <c r="AB31" s="405"/>
      <c r="AH31" s="1"/>
    </row>
    <row r="32" spans="1:34" ht="15" customHeight="1" x14ac:dyDescent="0.3">
      <c r="A32" s="36"/>
      <c r="B32" s="36"/>
      <c r="C32" s="91"/>
      <c r="D32" s="38"/>
      <c r="E32" s="69"/>
      <c r="F32" s="55"/>
      <c r="G32" s="55"/>
      <c r="H32" s="55"/>
      <c r="I32" s="55"/>
      <c r="J32" s="55"/>
      <c r="K32" s="55"/>
      <c r="L32" s="55"/>
      <c r="M32" s="55"/>
      <c r="N32" s="55"/>
      <c r="O32" s="55"/>
      <c r="P32" s="55"/>
      <c r="Q32" s="55"/>
      <c r="R32" s="55"/>
      <c r="S32" s="55"/>
      <c r="T32" s="55"/>
      <c r="U32" s="55"/>
      <c r="V32" s="38"/>
      <c r="W32" s="38"/>
      <c r="X32" s="38"/>
      <c r="Y32" s="77"/>
      <c r="Z32" s="77"/>
      <c r="AA32" s="38"/>
      <c r="AB32" s="13"/>
      <c r="AH32" s="1"/>
    </row>
    <row r="33" spans="1:34" ht="15" hidden="1" customHeight="1" x14ac:dyDescent="0.3">
      <c r="A33" s="36"/>
      <c r="B33" s="264"/>
      <c r="C33" s="38"/>
      <c r="E33" s="50"/>
      <c r="O33" s="38"/>
      <c r="P33" s="38"/>
      <c r="Q33" s="38"/>
      <c r="R33" s="38"/>
      <c r="S33" s="38"/>
      <c r="T33" s="38"/>
      <c r="U33" s="38"/>
      <c r="V33" s="38"/>
      <c r="W33" s="38"/>
      <c r="X33" s="38"/>
      <c r="Y33" s="77"/>
      <c r="Z33" s="77"/>
      <c r="AA33" s="38"/>
      <c r="AB33" s="13"/>
      <c r="AH33" s="1"/>
    </row>
    <row r="34" spans="1:34" ht="15" hidden="1" customHeight="1" x14ac:dyDescent="0.3">
      <c r="AH34" s="1"/>
    </row>
    <row r="35" spans="1:34" ht="15" hidden="1" customHeight="1" x14ac:dyDescent="0.3">
      <c r="B35" s="36"/>
      <c r="C35" s="36"/>
      <c r="D35" s="36"/>
      <c r="E35" s="59"/>
      <c r="F35" s="36"/>
      <c r="G35" s="36"/>
      <c r="H35" s="36"/>
      <c r="I35" s="36"/>
      <c r="J35" s="36"/>
      <c r="K35" s="36"/>
      <c r="L35" s="36"/>
      <c r="M35" s="36"/>
      <c r="N35" s="36"/>
      <c r="O35" s="36"/>
      <c r="P35" s="36"/>
      <c r="Q35" s="36"/>
      <c r="R35" s="36"/>
      <c r="S35" s="36"/>
      <c r="T35" s="36"/>
      <c r="U35" s="36"/>
      <c r="V35" s="36"/>
      <c r="W35" s="36"/>
      <c r="X35" s="36"/>
      <c r="Y35" s="36"/>
      <c r="Z35" s="36"/>
      <c r="AA35" s="36"/>
      <c r="AH35" s="1"/>
    </row>
    <row r="36" spans="1:34" ht="15" customHeight="1" x14ac:dyDescent="0.3">
      <c r="B36" s="1592"/>
      <c r="C36" s="1592"/>
      <c r="D36" s="1592"/>
      <c r="E36" s="1592"/>
      <c r="F36" s="1592"/>
      <c r="G36" s="1592"/>
      <c r="H36" s="1592"/>
      <c r="I36" s="1592"/>
      <c r="J36" s="1592"/>
      <c r="K36" s="1592"/>
      <c r="L36" s="1592"/>
      <c r="M36" s="1592"/>
      <c r="N36" s="1592"/>
      <c r="O36" s="1592"/>
      <c r="P36" s="1592"/>
      <c r="Q36" s="2264"/>
      <c r="R36" s="2264"/>
      <c r="S36" s="2264"/>
      <c r="T36" s="2264"/>
      <c r="U36" s="2264"/>
      <c r="V36" s="2264"/>
      <c r="W36" s="2264"/>
      <c r="X36" s="2264"/>
      <c r="Y36" s="2264"/>
      <c r="Z36" s="2264"/>
      <c r="AA36" s="1592"/>
      <c r="AB36" s="16"/>
      <c r="AC36" s="16"/>
      <c r="AD36" s="16"/>
      <c r="AE36" s="16"/>
      <c r="AF36" s="16"/>
      <c r="AG36" s="16"/>
      <c r="AH36" s="1"/>
    </row>
    <row r="37" spans="1:34" ht="15" customHeight="1" x14ac:dyDescent="0.3">
      <c r="B37" s="1593" t="s">
        <v>31</v>
      </c>
      <c r="C37" s="1593"/>
      <c r="D37" s="1594" t="s">
        <v>91</v>
      </c>
      <c r="E37" s="1595"/>
      <c r="F37" s="1595"/>
      <c r="G37" s="1595"/>
      <c r="H37" s="1595"/>
      <c r="I37" s="1595"/>
      <c r="J37" s="1595"/>
      <c r="K37" s="1595"/>
      <c r="L37" s="1595"/>
      <c r="M37" s="1595"/>
      <c r="N37" s="1595"/>
      <c r="O37" s="1595"/>
      <c r="P37" s="1595"/>
      <c r="Q37" s="1595"/>
      <c r="R37" s="1595"/>
      <c r="S37" s="1595"/>
      <c r="T37" s="1595"/>
      <c r="U37" s="2265"/>
      <c r="V37" s="2265"/>
      <c r="W37" s="2265"/>
      <c r="X37" s="2265"/>
      <c r="Y37" s="2265"/>
      <c r="Z37" s="1595"/>
      <c r="AA37" s="1595"/>
      <c r="AB37" s="567" t="s">
        <v>32</v>
      </c>
      <c r="AC37" s="2268" t="s">
        <v>115</v>
      </c>
      <c r="AD37" s="2268"/>
      <c r="AE37" s="2268"/>
      <c r="AF37" s="2268"/>
      <c r="AG37" s="2268"/>
      <c r="AH37" s="1"/>
    </row>
    <row r="38" spans="1:34" ht="15" customHeight="1" x14ac:dyDescent="0.3">
      <c r="B38" s="1596">
        <v>1</v>
      </c>
      <c r="C38" s="1596"/>
      <c r="D38" s="2267" t="s">
        <v>107</v>
      </c>
      <c r="E38" s="2267"/>
      <c r="F38" s="2267"/>
      <c r="G38" s="2267"/>
      <c r="H38" s="2267"/>
      <c r="I38" s="2267"/>
      <c r="J38" s="2267"/>
      <c r="K38" s="2267"/>
      <c r="L38" s="2267"/>
      <c r="M38" s="2267"/>
      <c r="N38" s="2267"/>
      <c r="O38" s="2267"/>
      <c r="P38" s="2267"/>
      <c r="Q38" s="2267"/>
      <c r="R38" s="2267"/>
      <c r="S38" s="2267"/>
      <c r="T38" s="2267"/>
      <c r="U38" s="2267"/>
      <c r="V38" s="2267"/>
      <c r="W38" s="2267"/>
      <c r="X38" s="2267"/>
      <c r="Y38" s="2267"/>
      <c r="Z38" s="2267"/>
      <c r="AA38" s="2267"/>
      <c r="AB38" s="570" t="str">
        <f>IF(D39=0,"Not Applicable","")</f>
        <v/>
      </c>
      <c r="AC38" s="2269"/>
      <c r="AD38" s="2269"/>
      <c r="AE38" s="2269"/>
      <c r="AF38" s="2269"/>
      <c r="AG38" s="2269"/>
      <c r="AH38" s="1"/>
    </row>
    <row r="39" spans="1:34" ht="15" customHeight="1" x14ac:dyDescent="0.3">
      <c r="B39" s="161" t="s">
        <v>63</v>
      </c>
      <c r="C39" s="161" t="str">
        <f>IF(OR('0.Basic Project Data'!$H$13='Data Analysis'!$C$164,'0.Basic Project Data'!H31="No"),Questions!$C$149,Questions!N79)</f>
        <v>RAA1</v>
      </c>
      <c r="D39" s="2259" t="str">
        <f>VLOOKUP(C39,Questions!$C$76:$H$149,6,FALSE)</f>
        <v>If the public sector needs to acquire land, has it identified suitable parcel(s)?</v>
      </c>
      <c r="E39" s="2259"/>
      <c r="F39" s="2259"/>
      <c r="G39" s="2259"/>
      <c r="H39" s="2259"/>
      <c r="I39" s="2259"/>
      <c r="J39" s="2259"/>
      <c r="K39" s="2259"/>
      <c r="L39" s="2259"/>
      <c r="M39" s="2259"/>
      <c r="N39" s="2259"/>
      <c r="O39" s="2259"/>
      <c r="P39" s="2259"/>
      <c r="Q39" s="2259"/>
      <c r="R39" s="2259"/>
      <c r="S39" s="2259"/>
      <c r="T39" s="2259"/>
      <c r="U39" s="2259"/>
      <c r="V39" s="2259"/>
      <c r="W39" s="2259"/>
      <c r="X39" s="2259"/>
      <c r="Y39" s="2259"/>
      <c r="Z39" s="2259"/>
      <c r="AA39" s="2259"/>
      <c r="AB39" s="1993" t="s">
        <v>34</v>
      </c>
      <c r="AC39" s="2153"/>
      <c r="AD39" s="2153"/>
      <c r="AE39" s="2153"/>
      <c r="AF39" s="2153"/>
      <c r="AG39" s="2153"/>
      <c r="AH39" s="1"/>
    </row>
    <row r="40" spans="1:34" ht="15" customHeight="1" x14ac:dyDescent="0.3">
      <c r="B40" s="161" t="s">
        <v>64</v>
      </c>
      <c r="C40" s="161" t="str">
        <f>IF(OR('0.Basic Project Data'!$H$13='Data Analysis'!$C$164,'0.Basic Project Data'!H31="No"),Questions!$C$149,Questions!N80)</f>
        <v>RAA2</v>
      </c>
      <c r="D40" s="2259" t="str">
        <f>VLOOKUP(C40,Questions!$C$76:$H$149,6,FALSE)</f>
        <v>Has the government prepared or committed to prepare a fully-budgeted land acquisition plan?</v>
      </c>
      <c r="E40" s="2259"/>
      <c r="F40" s="2259"/>
      <c r="G40" s="2259"/>
      <c r="H40" s="2259"/>
      <c r="I40" s="2259"/>
      <c r="J40" s="2259"/>
      <c r="K40" s="2259"/>
      <c r="L40" s="2259"/>
      <c r="M40" s="2259"/>
      <c r="N40" s="2259"/>
      <c r="O40" s="2259"/>
      <c r="P40" s="2259"/>
      <c r="Q40" s="2259"/>
      <c r="R40" s="2259"/>
      <c r="S40" s="2259"/>
      <c r="T40" s="2259"/>
      <c r="U40" s="2259"/>
      <c r="V40" s="2259"/>
      <c r="W40" s="2259"/>
      <c r="X40" s="2259"/>
      <c r="Y40" s="2259"/>
      <c r="Z40" s="2259"/>
      <c r="AA40" s="2259"/>
      <c r="AB40" s="1993" t="s">
        <v>34</v>
      </c>
      <c r="AC40" s="2153"/>
      <c r="AD40" s="2153"/>
      <c r="AE40" s="2153"/>
      <c r="AF40" s="2153"/>
      <c r="AG40" s="2153"/>
      <c r="AH40" s="1"/>
    </row>
    <row r="41" spans="1:34" ht="15" customHeight="1" x14ac:dyDescent="0.3">
      <c r="B41" s="161" t="s">
        <v>65</v>
      </c>
      <c r="C41" s="161" t="str">
        <f>IF(OR('0.Basic Project Data'!$H$13='Data Analysis'!$C$164,'0.Basic Project Data'!H31="No"),Questions!$C$149,Questions!N81)</f>
        <v>RAA3</v>
      </c>
      <c r="D41" s="2259" t="str">
        <f>VLOOKUP(C41,Questions!$C$76:$H$149,6,FALSE)</f>
        <v xml:space="preserve">Will the PPP agreement have provision of 100% unencumbered land as a condition precedent? </v>
      </c>
      <c r="E41" s="2259"/>
      <c r="F41" s="2259"/>
      <c r="G41" s="2259"/>
      <c r="H41" s="2259"/>
      <c r="I41" s="2259"/>
      <c r="J41" s="2259"/>
      <c r="K41" s="2259"/>
      <c r="L41" s="2259"/>
      <c r="M41" s="2259"/>
      <c r="N41" s="2259"/>
      <c r="O41" s="2259"/>
      <c r="P41" s="2259"/>
      <c r="Q41" s="2259"/>
      <c r="R41" s="2259"/>
      <c r="S41" s="2259"/>
      <c r="T41" s="2259"/>
      <c r="U41" s="2259"/>
      <c r="V41" s="2259"/>
      <c r="W41" s="2259"/>
      <c r="X41" s="2259"/>
      <c r="Y41" s="2259"/>
      <c r="Z41" s="2259"/>
      <c r="AA41" s="2259"/>
      <c r="AB41" s="1993" t="s">
        <v>34</v>
      </c>
      <c r="AC41" s="2153"/>
      <c r="AD41" s="2153"/>
      <c r="AE41" s="2153"/>
      <c r="AF41" s="2153"/>
      <c r="AG41" s="2153"/>
      <c r="AH41" s="1"/>
    </row>
    <row r="42" spans="1:34" ht="15" customHeight="1" x14ac:dyDescent="0.3">
      <c r="B42" s="161" t="s">
        <v>66</v>
      </c>
      <c r="C42" s="161" t="str">
        <f>IF(OR('0.Basic Project Data'!$H$13='Data Analysis'!$C$164,'0.Basic Project Data'!H31="No"),Questions!$C$149,Questions!N82)</f>
        <v>RAA4</v>
      </c>
      <c r="D42" s="2259" t="str">
        <f>VLOOKUP(C42,Questions!$C$76:$H$149,6,FALSE)</f>
        <v>Will land acquisition lead to substantial involuntary resettlement?</v>
      </c>
      <c r="E42" s="2259"/>
      <c r="F42" s="2259"/>
      <c r="G42" s="2259"/>
      <c r="H42" s="2259"/>
      <c r="I42" s="2259"/>
      <c r="J42" s="2259"/>
      <c r="K42" s="2259"/>
      <c r="L42" s="2259"/>
      <c r="M42" s="2259"/>
      <c r="N42" s="2259"/>
      <c r="O42" s="2259"/>
      <c r="P42" s="2259"/>
      <c r="Q42" s="2259"/>
      <c r="R42" s="2259"/>
      <c r="S42" s="2259"/>
      <c r="T42" s="2259"/>
      <c r="U42" s="2259"/>
      <c r="V42" s="2259"/>
      <c r="W42" s="2259"/>
      <c r="X42" s="2259"/>
      <c r="Y42" s="2259"/>
      <c r="Z42" s="2259"/>
      <c r="AA42" s="2259"/>
      <c r="AB42" s="1993" t="s">
        <v>39</v>
      </c>
      <c r="AC42" s="2153"/>
      <c r="AD42" s="2153"/>
      <c r="AE42" s="2153"/>
      <c r="AF42" s="2153"/>
      <c r="AG42" s="2153"/>
      <c r="AH42" s="1"/>
    </row>
    <row r="43" spans="1:34" ht="15" customHeight="1" x14ac:dyDescent="0.3">
      <c r="B43" s="161" t="s">
        <v>69</v>
      </c>
      <c r="C43" s="161" t="str">
        <f>IF(OR('0.Basic Project Data'!$H$13='Data Analysis'!$C$164,'0.Basic Project Data'!H31="No"),Questions!$C$149,Questions!N83)</f>
        <v>RAA5</v>
      </c>
      <c r="D43" s="2259" t="str">
        <f>VLOOKUP(C43,Questions!$C$76:$H$149,6,FALSE)</f>
        <v>Will the project need to acquire forest or protected land?</v>
      </c>
      <c r="E43" s="2259"/>
      <c r="F43" s="2259"/>
      <c r="G43" s="2259"/>
      <c r="H43" s="2259"/>
      <c r="I43" s="2259"/>
      <c r="J43" s="2259"/>
      <c r="K43" s="2259"/>
      <c r="L43" s="2259"/>
      <c r="M43" s="2259"/>
      <c r="N43" s="2259"/>
      <c r="O43" s="2259"/>
      <c r="P43" s="2259"/>
      <c r="Q43" s="2259"/>
      <c r="R43" s="2259"/>
      <c r="S43" s="2259"/>
      <c r="T43" s="2259"/>
      <c r="U43" s="2259"/>
      <c r="V43" s="2259"/>
      <c r="W43" s="2259"/>
      <c r="X43" s="2259"/>
      <c r="Y43" s="2259"/>
      <c r="Z43" s="2259"/>
      <c r="AA43" s="2259"/>
      <c r="AB43" s="1993" t="s">
        <v>39</v>
      </c>
      <c r="AC43" s="2153"/>
      <c r="AD43" s="2153"/>
      <c r="AE43" s="2153"/>
      <c r="AF43" s="2153"/>
      <c r="AG43" s="2153"/>
      <c r="AH43" s="1"/>
    </row>
    <row r="44" spans="1:34" ht="15" customHeight="1" x14ac:dyDescent="0.3">
      <c r="B44" s="161" t="s">
        <v>385</v>
      </c>
      <c r="C44" s="161" t="str">
        <f>IF(OR('0.Basic Project Data'!$H$13='Data Analysis'!$C$164,'0.Basic Project Data'!H31="No"),Questions!$C$149,Questions!N84)</f>
        <v>RAA6</v>
      </c>
      <c r="D44" s="2259" t="str">
        <f>VLOOKUP(C44,Questions!$C$76:$H$149,6,FALSE)</f>
        <v>Have there been substantial delays in land acquisition in similar projects in the past?</v>
      </c>
      <c r="E44" s="2259"/>
      <c r="F44" s="2259"/>
      <c r="G44" s="2259"/>
      <c r="H44" s="2259"/>
      <c r="I44" s="2259"/>
      <c r="J44" s="2259"/>
      <c r="K44" s="2259"/>
      <c r="L44" s="2259"/>
      <c r="M44" s="2259"/>
      <c r="N44" s="2259"/>
      <c r="O44" s="2259"/>
      <c r="P44" s="2259"/>
      <c r="Q44" s="2259"/>
      <c r="R44" s="2259"/>
      <c r="S44" s="2259"/>
      <c r="T44" s="2259"/>
      <c r="U44" s="2259"/>
      <c r="V44" s="2259"/>
      <c r="W44" s="2259"/>
      <c r="X44" s="2259"/>
      <c r="Y44" s="2259"/>
      <c r="Z44" s="2259"/>
      <c r="AA44" s="2259"/>
      <c r="AB44" s="1993" t="s">
        <v>39</v>
      </c>
      <c r="AC44" s="2153"/>
      <c r="AD44" s="2153"/>
      <c r="AE44" s="2153"/>
      <c r="AF44" s="2153"/>
      <c r="AG44" s="2153"/>
      <c r="AH44" s="1"/>
    </row>
    <row r="45" spans="1:34" ht="15" customHeight="1" x14ac:dyDescent="0.3">
      <c r="B45" s="161" t="s">
        <v>386</v>
      </c>
      <c r="C45" s="161" t="str">
        <f>IF(OR('0.Basic Project Data'!$H$13='Data Analysis'!$C$164,'0.Basic Project Data'!H31="No"),Questions!$C$149,Questions!N85)</f>
        <v>RAA7</v>
      </c>
      <c r="D45" s="2259" t="str">
        <f>VLOOKUP(C45,Questions!$C$76:$H$149,6,FALSE)</f>
        <v>Are there any other issues that could delay land acquisition?</v>
      </c>
      <c r="E45" s="2259"/>
      <c r="F45" s="2259"/>
      <c r="G45" s="2259"/>
      <c r="H45" s="2259"/>
      <c r="I45" s="2259"/>
      <c r="J45" s="2259"/>
      <c r="K45" s="2259"/>
      <c r="L45" s="2259"/>
      <c r="M45" s="2259"/>
      <c r="N45" s="2259"/>
      <c r="O45" s="2259"/>
      <c r="P45" s="2259"/>
      <c r="Q45" s="2259"/>
      <c r="R45" s="2259"/>
      <c r="S45" s="2259"/>
      <c r="T45" s="2259"/>
      <c r="U45" s="2259"/>
      <c r="V45" s="2259"/>
      <c r="W45" s="2259"/>
      <c r="X45" s="2259"/>
      <c r="Y45" s="2259"/>
      <c r="Z45" s="2259"/>
      <c r="AA45" s="2259"/>
      <c r="AB45" s="1993" t="s">
        <v>39</v>
      </c>
      <c r="AC45" s="2153"/>
      <c r="AD45" s="2153"/>
      <c r="AE45" s="2153"/>
      <c r="AF45" s="2153"/>
      <c r="AG45" s="2153"/>
      <c r="AH45" s="1"/>
    </row>
    <row r="46" spans="1:34" ht="15" customHeight="1" x14ac:dyDescent="0.3">
      <c r="B46" s="219"/>
      <c r="C46" s="218"/>
      <c r="D46" s="219"/>
      <c r="E46" s="219"/>
      <c r="F46" s="219"/>
      <c r="G46" s="219"/>
      <c r="H46" s="219"/>
      <c r="I46" s="219"/>
      <c r="J46" s="219"/>
      <c r="K46" s="219"/>
      <c r="L46" s="219"/>
      <c r="M46" s="219"/>
      <c r="N46" s="219"/>
      <c r="O46" s="219"/>
      <c r="P46" s="219"/>
      <c r="Q46" s="219"/>
      <c r="R46" s="219"/>
      <c r="S46" s="219"/>
      <c r="T46" s="219"/>
      <c r="U46" s="2266"/>
      <c r="V46" s="2266"/>
      <c r="W46" s="2266"/>
      <c r="X46" s="2266"/>
      <c r="Y46" s="2266"/>
      <c r="Z46" s="2266"/>
      <c r="AA46" s="579"/>
      <c r="AB46" s="1996"/>
      <c r="AC46" s="2153"/>
      <c r="AD46" s="2153"/>
      <c r="AE46" s="2153"/>
      <c r="AF46" s="2153"/>
      <c r="AG46" s="2153"/>
      <c r="AH46" s="1"/>
    </row>
    <row r="47" spans="1:34" ht="15" customHeight="1" x14ac:dyDescent="0.3">
      <c r="B47" s="161">
        <v>2</v>
      </c>
      <c r="C47" s="161"/>
      <c r="D47" s="2244" t="s">
        <v>106</v>
      </c>
      <c r="E47" s="2244"/>
      <c r="F47" s="2244"/>
      <c r="G47" s="2244"/>
      <c r="H47" s="2244"/>
      <c r="I47" s="2244"/>
      <c r="J47" s="2244"/>
      <c r="K47" s="2244"/>
      <c r="L47" s="2244"/>
      <c r="M47" s="2244"/>
      <c r="N47" s="2244"/>
      <c r="O47" s="2244"/>
      <c r="P47" s="2244"/>
      <c r="Q47" s="2244"/>
      <c r="R47" s="2244"/>
      <c r="S47" s="2244"/>
      <c r="T47" s="2244"/>
      <c r="U47" s="2244"/>
      <c r="V47" s="2244"/>
      <c r="W47" s="2244"/>
      <c r="X47" s="2244"/>
      <c r="Y47" s="2244"/>
      <c r="Z47" s="2244"/>
      <c r="AA47" s="2244"/>
      <c r="AB47" s="1997" t="str">
        <f>IF(D48=0,"Not Applicable","")</f>
        <v/>
      </c>
      <c r="AC47" s="2260"/>
      <c r="AD47" s="2260"/>
      <c r="AE47" s="2260"/>
      <c r="AF47" s="2260"/>
      <c r="AG47" s="2260"/>
      <c r="AH47" s="1"/>
    </row>
    <row r="48" spans="1:34" ht="15" customHeight="1" x14ac:dyDescent="0.3">
      <c r="B48" s="161" t="s">
        <v>63</v>
      </c>
      <c r="C48" s="161" t="str">
        <f>Questions!V79</f>
        <v>RAB1</v>
      </c>
      <c r="D48" s="2262" t="str">
        <f>VLOOKUP(C48,Questions!$C$76:$H$149,6,FALSE)</f>
        <v>Have similar PPP projects achieved financial close in the country or region?</v>
      </c>
      <c r="E48" s="2262"/>
      <c r="F48" s="2262"/>
      <c r="G48" s="2262"/>
      <c r="H48" s="2262"/>
      <c r="I48" s="2262"/>
      <c r="J48" s="2262"/>
      <c r="K48" s="2262"/>
      <c r="L48" s="2262"/>
      <c r="M48" s="2262"/>
      <c r="N48" s="2262"/>
      <c r="O48" s="2262"/>
      <c r="P48" s="2262"/>
      <c r="Q48" s="2262"/>
      <c r="R48" s="2262"/>
      <c r="S48" s="2262"/>
      <c r="T48" s="2262"/>
      <c r="U48" s="2262"/>
      <c r="V48" s="2262"/>
      <c r="W48" s="2262"/>
      <c r="X48" s="2262"/>
      <c r="Y48" s="2262"/>
      <c r="Z48" s="2262"/>
      <c r="AA48" s="2262"/>
      <c r="AB48" s="1993" t="s">
        <v>34</v>
      </c>
      <c r="AC48" s="2153"/>
      <c r="AD48" s="2153"/>
      <c r="AE48" s="2153"/>
      <c r="AF48" s="2153"/>
      <c r="AG48" s="2153"/>
      <c r="AH48" s="1"/>
    </row>
    <row r="49" spans="1:34" ht="15" customHeight="1" x14ac:dyDescent="0.3">
      <c r="B49" s="161" t="s">
        <v>64</v>
      </c>
      <c r="C49" s="161" t="str">
        <f>Questions!V80</f>
        <v>RAB2</v>
      </c>
      <c r="D49" s="2263" t="str">
        <f>VLOOKUP(C49,Questions!$C$76:$H$149,6,FALSE)</f>
        <v>Are there financiers who will express or have expressed interest in the PPP?</v>
      </c>
      <c r="E49" s="2263"/>
      <c r="F49" s="2263"/>
      <c r="G49" s="2263"/>
      <c r="H49" s="2263"/>
      <c r="I49" s="2263"/>
      <c r="J49" s="2263"/>
      <c r="K49" s="2263"/>
      <c r="L49" s="2263"/>
      <c r="M49" s="2263"/>
      <c r="N49" s="2263"/>
      <c r="O49" s="2263"/>
      <c r="P49" s="2263"/>
      <c r="Q49" s="2263"/>
      <c r="R49" s="2263"/>
      <c r="S49" s="2263"/>
      <c r="T49" s="2263"/>
      <c r="U49" s="2263"/>
      <c r="V49" s="2263"/>
      <c r="W49" s="2263"/>
      <c r="X49" s="2263"/>
      <c r="Y49" s="2263"/>
      <c r="Z49" s="2263"/>
      <c r="AA49" s="2263"/>
      <c r="AB49" s="1997" t="s">
        <v>34</v>
      </c>
      <c r="AC49" s="2153"/>
      <c r="AD49" s="2153"/>
      <c r="AE49" s="2153"/>
      <c r="AF49" s="2153"/>
      <c r="AG49" s="2153"/>
      <c r="AH49" s="1"/>
    </row>
    <row r="50" spans="1:34" ht="15" customHeight="1" x14ac:dyDescent="0.3">
      <c r="B50" s="161" t="s">
        <v>65</v>
      </c>
      <c r="C50" s="161" t="str">
        <f>Questions!V81</f>
        <v>RAB3</v>
      </c>
      <c r="D50" s="2262" t="str">
        <f>VLOOKUP(C50,Questions!$C$76:$H$149,6,FALSE)</f>
        <v xml:space="preserve">Will financial close be a condition precedent to the effectiveness of the PPP agreement? </v>
      </c>
      <c r="E50" s="2262"/>
      <c r="F50" s="2262"/>
      <c r="G50" s="2262"/>
      <c r="H50" s="2262"/>
      <c r="I50" s="2262"/>
      <c r="J50" s="2262"/>
      <c r="K50" s="2262"/>
      <c r="L50" s="2262"/>
      <c r="M50" s="2262"/>
      <c r="N50" s="2262"/>
      <c r="O50" s="2262"/>
      <c r="P50" s="2262"/>
      <c r="Q50" s="2262"/>
      <c r="R50" s="2262"/>
      <c r="S50" s="2262"/>
      <c r="T50" s="2262"/>
      <c r="U50" s="2262"/>
      <c r="V50" s="2262"/>
      <c r="W50" s="2262"/>
      <c r="X50" s="2262"/>
      <c r="Y50" s="2262"/>
      <c r="Z50" s="2262"/>
      <c r="AA50" s="2262"/>
      <c r="AB50" s="1993" t="s">
        <v>34</v>
      </c>
      <c r="AC50" s="2153"/>
      <c r="AD50" s="2153"/>
      <c r="AE50" s="2153"/>
      <c r="AF50" s="2153"/>
      <c r="AG50" s="2153"/>
      <c r="AH50" s="1"/>
    </row>
    <row r="51" spans="1:34" ht="15" customHeight="1" x14ac:dyDescent="0.3">
      <c r="B51" s="161" t="s">
        <v>66</v>
      </c>
      <c r="C51" s="161" t="str">
        <f>Questions!V82</f>
        <v>RAB4</v>
      </c>
      <c r="D51" s="2262" t="str">
        <f>VLOOKUP(C51,Questions!$C$76:$H$149,6,FALSE)</f>
        <v xml:space="preserve"> Can it be reasonably expected that financial close will not be delayed to affect materially the conditions of effectiveness of the PPP agreement?</v>
      </c>
      <c r="E51" s="2262"/>
      <c r="F51" s="2262"/>
      <c r="G51" s="2262"/>
      <c r="H51" s="2262"/>
      <c r="I51" s="2262"/>
      <c r="J51" s="2262"/>
      <c r="K51" s="2262"/>
      <c r="L51" s="2262"/>
      <c r="M51" s="2262"/>
      <c r="N51" s="2262"/>
      <c r="O51" s="2262"/>
      <c r="P51" s="2262"/>
      <c r="Q51" s="2262"/>
      <c r="R51" s="2262"/>
      <c r="S51" s="2262"/>
      <c r="T51" s="2262"/>
      <c r="U51" s="2262"/>
      <c r="V51" s="2262"/>
      <c r="W51" s="2262"/>
      <c r="X51" s="2262"/>
      <c r="Y51" s="2262"/>
      <c r="Z51" s="2262"/>
      <c r="AA51" s="2262"/>
      <c r="AB51" s="1993" t="s">
        <v>34</v>
      </c>
      <c r="AC51" s="2153"/>
      <c r="AD51" s="2153"/>
      <c r="AE51" s="2153"/>
      <c r="AF51" s="2153"/>
      <c r="AG51" s="2153"/>
      <c r="AH51" s="1"/>
    </row>
    <row r="52" spans="1:34" ht="15" customHeight="1" x14ac:dyDescent="0.3">
      <c r="B52" s="218"/>
      <c r="C52" s="218"/>
      <c r="D52" s="219"/>
      <c r="E52" s="219"/>
      <c r="F52" s="219"/>
      <c r="G52" s="219"/>
      <c r="H52" s="219"/>
      <c r="I52" s="219"/>
      <c r="J52" s="219"/>
      <c r="K52" s="219"/>
      <c r="L52" s="219"/>
      <c r="M52" s="219"/>
      <c r="N52" s="219"/>
      <c r="O52" s="219"/>
      <c r="P52" s="219"/>
      <c r="Q52" s="219"/>
      <c r="R52" s="219"/>
      <c r="S52" s="219"/>
      <c r="T52" s="219"/>
      <c r="U52" s="219"/>
      <c r="V52" s="427"/>
      <c r="W52" s="427"/>
      <c r="X52" s="427"/>
      <c r="Y52" s="427"/>
      <c r="Z52" s="1597"/>
      <c r="AA52" s="579"/>
      <c r="AB52" s="220"/>
      <c r="AC52" s="2261"/>
      <c r="AD52" s="2261"/>
      <c r="AE52" s="2261"/>
      <c r="AF52" s="2261"/>
      <c r="AG52" s="2261"/>
      <c r="AH52" s="1"/>
    </row>
    <row r="53" spans="1:34" ht="15" customHeight="1" x14ac:dyDescent="0.3">
      <c r="B53" s="161">
        <v>3</v>
      </c>
      <c r="C53" s="161"/>
      <c r="D53" s="2244" t="s">
        <v>105</v>
      </c>
      <c r="E53" s="2244"/>
      <c r="F53" s="2244"/>
      <c r="G53" s="2244"/>
      <c r="H53" s="2244"/>
      <c r="I53" s="2244"/>
      <c r="J53" s="2244"/>
      <c r="K53" s="2244"/>
      <c r="L53" s="2244"/>
      <c r="M53" s="2244"/>
      <c r="N53" s="2244"/>
      <c r="O53" s="2244"/>
      <c r="P53" s="2244"/>
      <c r="Q53" s="2244"/>
      <c r="R53" s="2244"/>
      <c r="S53" s="2244"/>
      <c r="T53" s="2244"/>
      <c r="U53" s="2244"/>
      <c r="V53" s="2244"/>
      <c r="W53" s="2244"/>
      <c r="X53" s="2244"/>
      <c r="Y53" s="2244"/>
      <c r="Z53" s="2244"/>
      <c r="AA53" s="2244"/>
      <c r="AB53" s="1998" t="str">
        <f>IF(D54=0,"Not Applicable","")</f>
        <v/>
      </c>
      <c r="AC53" s="2260"/>
      <c r="AD53" s="2260"/>
      <c r="AE53" s="2260"/>
      <c r="AF53" s="2260"/>
      <c r="AG53" s="2260"/>
      <c r="AH53" s="1"/>
    </row>
    <row r="54" spans="1:34" ht="15" customHeight="1" x14ac:dyDescent="0.3">
      <c r="B54" s="25" t="s">
        <v>63</v>
      </c>
      <c r="C54" s="25" t="str">
        <f>Questions!AD79</f>
        <v>RAC1</v>
      </c>
      <c r="D54" s="2259" t="str">
        <f>VLOOKUP(C54,Questions!$C$76:$H$149,6,FALSE)</f>
        <v>Is the project likely to be based on technology that has been proven commercially in similar environments previously?</v>
      </c>
      <c r="E54" s="2259"/>
      <c r="F54" s="2259"/>
      <c r="G54" s="2259"/>
      <c r="H54" s="2259"/>
      <c r="I54" s="2259"/>
      <c r="J54" s="2259"/>
      <c r="K54" s="2259"/>
      <c r="L54" s="2259"/>
      <c r="M54" s="2259"/>
      <c r="N54" s="2259"/>
      <c r="O54" s="2259"/>
      <c r="P54" s="2259"/>
      <c r="Q54" s="2259"/>
      <c r="R54" s="2259"/>
      <c r="S54" s="2259"/>
      <c r="T54" s="2259"/>
      <c r="U54" s="2259"/>
      <c r="V54" s="2259"/>
      <c r="W54" s="2259"/>
      <c r="X54" s="2259"/>
      <c r="Y54" s="2259"/>
      <c r="Z54" s="2259"/>
      <c r="AA54" s="2259"/>
      <c r="AB54" s="1999" t="str">
        <f>'II.Preliminary Feasibility'!AB34:AC34</f>
        <v>Yes</v>
      </c>
      <c r="AC54" s="2153"/>
      <c r="AD54" s="2153"/>
      <c r="AE54" s="2153"/>
      <c r="AF54" s="2153"/>
      <c r="AG54" s="2153"/>
      <c r="AH54" s="1"/>
    </row>
    <row r="55" spans="1:34" s="13" customFormat="1" ht="15" customHeight="1" x14ac:dyDescent="0.3">
      <c r="A55" s="47"/>
      <c r="B55" s="25" t="s">
        <v>64</v>
      </c>
      <c r="C55" s="25" t="str">
        <f>Questions!AD80</f>
        <v>RAC2</v>
      </c>
      <c r="D55" s="2259" t="str">
        <f>VLOOKUP(C55,Questions!$C$76:$H$149,6,FALSE)</f>
        <v>Is the proposed site accessible with any potential challenges during construction being manageable?</v>
      </c>
      <c r="E55" s="2259"/>
      <c r="F55" s="2259"/>
      <c r="G55" s="2259"/>
      <c r="H55" s="2259"/>
      <c r="I55" s="2259"/>
      <c r="J55" s="2259"/>
      <c r="K55" s="2259"/>
      <c r="L55" s="2259"/>
      <c r="M55" s="2259"/>
      <c r="N55" s="2259"/>
      <c r="O55" s="2259"/>
      <c r="P55" s="2259"/>
      <c r="Q55" s="2259"/>
      <c r="R55" s="2259"/>
      <c r="S55" s="2259"/>
      <c r="T55" s="2259"/>
      <c r="U55" s="2259"/>
      <c r="V55" s="2259"/>
      <c r="W55" s="2259"/>
      <c r="X55" s="2259"/>
      <c r="Y55" s="2259"/>
      <c r="Z55" s="2259"/>
      <c r="AA55" s="2259"/>
      <c r="AB55" s="1999" t="str">
        <f>'II.Preliminary Feasibility'!AB39:AC39</f>
        <v>Yes</v>
      </c>
      <c r="AC55" s="2153"/>
      <c r="AD55" s="2153"/>
      <c r="AE55" s="2153"/>
      <c r="AF55" s="2153"/>
      <c r="AG55" s="2153"/>
      <c r="AH55" s="625"/>
    </row>
    <row r="56" spans="1:34" ht="29.25" customHeight="1" x14ac:dyDescent="0.3">
      <c r="B56" s="25" t="s">
        <v>65</v>
      </c>
      <c r="C56" s="25" t="str">
        <f>Questions!AD81</f>
        <v>RAC3</v>
      </c>
      <c r="D56" s="2259" t="str">
        <f>VLOOKUP(C56,Questions!$C$76:$H$149,6,FALSE)</f>
        <v>Will the project be able to source the required skills in relation to the project's construction and  operations and maintenance (O&amp;M) (as applicable)?</v>
      </c>
      <c r="E56" s="2259"/>
      <c r="F56" s="2259"/>
      <c r="G56" s="2259"/>
      <c r="H56" s="2259"/>
      <c r="I56" s="2259"/>
      <c r="J56" s="2259"/>
      <c r="K56" s="2259"/>
      <c r="L56" s="2259"/>
      <c r="M56" s="2259"/>
      <c r="N56" s="2259"/>
      <c r="O56" s="2259"/>
      <c r="P56" s="2259"/>
      <c r="Q56" s="2259"/>
      <c r="R56" s="2259"/>
      <c r="S56" s="2259"/>
      <c r="T56" s="2259"/>
      <c r="U56" s="2259"/>
      <c r="V56" s="2259"/>
      <c r="W56" s="2259"/>
      <c r="X56" s="2259"/>
      <c r="Y56" s="2259"/>
      <c r="Z56" s="2259"/>
      <c r="AA56" s="2259"/>
      <c r="AB56" s="1993" t="s">
        <v>34</v>
      </c>
      <c r="AC56" s="2153"/>
      <c r="AD56" s="2153"/>
      <c r="AE56" s="2153"/>
      <c r="AF56" s="2153"/>
      <c r="AG56" s="2153"/>
      <c r="AH56" s="1"/>
    </row>
    <row r="57" spans="1:34" ht="45" customHeight="1" x14ac:dyDescent="0.3">
      <c r="B57" s="25" t="s">
        <v>66</v>
      </c>
      <c r="C57" s="25" t="str">
        <f>Questions!AD82</f>
        <v>RAC4</v>
      </c>
      <c r="D57" s="2259" t="str">
        <f>VLOOKUP(C57,Questions!$C$76:$H$149,6,FALSE)</f>
        <v>Does the project scope allow the private sector to manage efficiently the design, construction, and commissioning risks?</v>
      </c>
      <c r="E57" s="2259"/>
      <c r="F57" s="2259"/>
      <c r="G57" s="2259"/>
      <c r="H57" s="2259"/>
      <c r="I57" s="2259"/>
      <c r="J57" s="2259"/>
      <c r="K57" s="2259"/>
      <c r="L57" s="2259"/>
      <c r="M57" s="2259"/>
      <c r="N57" s="2259"/>
      <c r="O57" s="2259"/>
      <c r="P57" s="2259"/>
      <c r="Q57" s="2259"/>
      <c r="R57" s="2259"/>
      <c r="S57" s="2259"/>
      <c r="T57" s="2259"/>
      <c r="U57" s="2259"/>
      <c r="V57" s="2259"/>
      <c r="W57" s="2259"/>
      <c r="X57" s="2259"/>
      <c r="Y57" s="2259"/>
      <c r="Z57" s="2259"/>
      <c r="AA57" s="2259"/>
      <c r="AB57" s="1993" t="s">
        <v>34</v>
      </c>
      <c r="AC57" s="2153"/>
      <c r="AD57" s="2153"/>
      <c r="AE57" s="2153"/>
      <c r="AF57" s="2153"/>
      <c r="AG57" s="2153"/>
      <c r="AH57" s="1"/>
    </row>
    <row r="58" spans="1:34" ht="30.75" customHeight="1" x14ac:dyDescent="0.3">
      <c r="B58" s="25" t="s">
        <v>69</v>
      </c>
      <c r="C58" s="25" t="str">
        <f>Questions!AD83</f>
        <v>RAC5</v>
      </c>
      <c r="D58" s="2259" t="str">
        <f>VLOOKUP(C58,Questions!$C$76:$H$149,6,FALSE)</f>
        <v>Will there be a strong system to manage contractor/subcontractor performance and construction-related challenges?</v>
      </c>
      <c r="E58" s="2259"/>
      <c r="F58" s="2259"/>
      <c r="G58" s="2259"/>
      <c r="H58" s="2259"/>
      <c r="I58" s="2259"/>
      <c r="J58" s="2259"/>
      <c r="K58" s="2259"/>
      <c r="L58" s="2259"/>
      <c r="M58" s="2259"/>
      <c r="N58" s="2259"/>
      <c r="O58" s="2259"/>
      <c r="P58" s="2259"/>
      <c r="Q58" s="2259"/>
      <c r="R58" s="2259"/>
      <c r="S58" s="2259"/>
      <c r="T58" s="2259"/>
      <c r="U58" s="2259"/>
      <c r="V58" s="2259"/>
      <c r="W58" s="2259"/>
      <c r="X58" s="2259"/>
      <c r="Y58" s="2259"/>
      <c r="Z58" s="2259"/>
      <c r="AA58" s="2259"/>
      <c r="AB58" s="1993" t="s">
        <v>34</v>
      </c>
      <c r="AC58" s="2153"/>
      <c r="AD58" s="2153"/>
      <c r="AE58" s="2153"/>
      <c r="AF58" s="2153"/>
      <c r="AG58" s="2153"/>
      <c r="AH58" s="1"/>
    </row>
    <row r="59" spans="1:34" ht="15" customHeight="1" x14ac:dyDescent="0.3">
      <c r="B59" s="25" t="s">
        <v>95</v>
      </c>
      <c r="C59" s="25" t="str">
        <f>Questions!AD84</f>
        <v>RAC6</v>
      </c>
      <c r="D59" s="2259" t="str">
        <f>VLOOKUP(C59,Questions!$C$76:$H$149,6,FALSE)</f>
        <v>Will there be independent reviews of designs, monitoring of construction progress and oversight during testing and commissioning phases?</v>
      </c>
      <c r="E59" s="2259"/>
      <c r="F59" s="2259"/>
      <c r="G59" s="2259"/>
      <c r="H59" s="2259"/>
      <c r="I59" s="2259"/>
      <c r="J59" s="2259"/>
      <c r="K59" s="2259"/>
      <c r="L59" s="2259"/>
      <c r="M59" s="2259"/>
      <c r="N59" s="2259"/>
      <c r="O59" s="2259"/>
      <c r="P59" s="2259"/>
      <c r="Q59" s="2259"/>
      <c r="R59" s="2259"/>
      <c r="S59" s="2259"/>
      <c r="T59" s="2259"/>
      <c r="U59" s="2259"/>
      <c r="V59" s="2259"/>
      <c r="W59" s="2259"/>
      <c r="X59" s="2259"/>
      <c r="Y59" s="2259"/>
      <c r="Z59" s="2259"/>
      <c r="AA59" s="2259"/>
      <c r="AB59" s="1993" t="s">
        <v>34</v>
      </c>
      <c r="AC59" s="2153"/>
      <c r="AD59" s="2153"/>
      <c r="AE59" s="2153"/>
      <c r="AF59" s="2153"/>
      <c r="AG59" s="2153"/>
      <c r="AH59" s="1"/>
    </row>
    <row r="60" spans="1:34" ht="15" customHeight="1" x14ac:dyDescent="0.3">
      <c r="B60" s="218"/>
      <c r="C60" s="218"/>
      <c r="D60" s="219"/>
      <c r="E60" s="219"/>
      <c r="F60" s="219"/>
      <c r="G60" s="219"/>
      <c r="H60" s="219"/>
      <c r="I60" s="219"/>
      <c r="J60" s="219"/>
      <c r="K60" s="219"/>
      <c r="L60" s="219"/>
      <c r="M60" s="219"/>
      <c r="N60" s="219"/>
      <c r="O60" s="219"/>
      <c r="P60" s="219"/>
      <c r="Q60" s="219"/>
      <c r="R60" s="219"/>
      <c r="S60" s="219"/>
      <c r="T60" s="219"/>
      <c r="U60" s="219"/>
      <c r="V60" s="427"/>
      <c r="W60" s="427"/>
      <c r="X60" s="427"/>
      <c r="Y60" s="427"/>
      <c r="Z60" s="1597"/>
      <c r="AA60" s="579"/>
      <c r="AC60" s="2261"/>
      <c r="AD60" s="2261"/>
      <c r="AE60" s="2261"/>
      <c r="AF60" s="2261"/>
      <c r="AG60" s="2261"/>
      <c r="AH60" s="1"/>
    </row>
    <row r="61" spans="1:34" ht="15" customHeight="1" x14ac:dyDescent="0.3">
      <c r="B61" s="161">
        <v>4</v>
      </c>
      <c r="C61" s="161"/>
      <c r="D61" s="2244" t="s">
        <v>161</v>
      </c>
      <c r="E61" s="2244"/>
      <c r="F61" s="2244"/>
      <c r="G61" s="2244"/>
      <c r="H61" s="2244"/>
      <c r="I61" s="2244"/>
      <c r="J61" s="2244"/>
      <c r="K61" s="2244"/>
      <c r="L61" s="2244"/>
      <c r="M61" s="2244"/>
      <c r="N61" s="2244"/>
      <c r="O61" s="2244"/>
      <c r="P61" s="2244"/>
      <c r="Q61" s="2244"/>
      <c r="R61" s="2244"/>
      <c r="S61" s="2244"/>
      <c r="T61" s="2244"/>
      <c r="U61" s="2244"/>
      <c r="V61" s="2244"/>
      <c r="W61" s="2244"/>
      <c r="X61" s="2244"/>
      <c r="Y61" s="2244"/>
      <c r="Z61" s="2244"/>
      <c r="AA61" s="2244"/>
      <c r="AB61" s="1997" t="str">
        <f>IF(D62=0,"Not Applicable","")</f>
        <v/>
      </c>
      <c r="AC61" s="2260"/>
      <c r="AD61" s="2260"/>
      <c r="AE61" s="2260"/>
      <c r="AF61" s="2260"/>
      <c r="AG61" s="2260"/>
      <c r="AH61" s="1"/>
    </row>
    <row r="62" spans="1:34" ht="15" customHeight="1" x14ac:dyDescent="0.3">
      <c r="B62" s="25" t="s">
        <v>63</v>
      </c>
      <c r="C62" s="25" t="str">
        <f>Questions!AL79</f>
        <v>RAD1</v>
      </c>
      <c r="D62" s="2259" t="str">
        <f>VLOOKUP(C62,Questions!$C$76:$H$149,6,FALSE)</f>
        <v xml:space="preserve">Does the project scope clearly include a well-defined, measurable, and verifiable O&amp;M component? </v>
      </c>
      <c r="E62" s="2259"/>
      <c r="F62" s="2259"/>
      <c r="G62" s="2259"/>
      <c r="H62" s="2259"/>
      <c r="I62" s="2259"/>
      <c r="J62" s="2259"/>
      <c r="K62" s="2259"/>
      <c r="L62" s="2259"/>
      <c r="M62" s="2259"/>
      <c r="N62" s="2259"/>
      <c r="O62" s="2259"/>
      <c r="P62" s="2259"/>
      <c r="Q62" s="2259"/>
      <c r="R62" s="2259"/>
      <c r="S62" s="2259"/>
      <c r="T62" s="2259"/>
      <c r="U62" s="2259"/>
      <c r="V62" s="2259"/>
      <c r="W62" s="2259"/>
      <c r="X62" s="2259"/>
      <c r="Y62" s="2259"/>
      <c r="Z62" s="2259"/>
      <c r="AA62" s="2259"/>
      <c r="AB62" s="1993" t="s">
        <v>34</v>
      </c>
      <c r="AC62" s="2153"/>
      <c r="AD62" s="2153"/>
      <c r="AE62" s="2153"/>
      <c r="AF62" s="2153"/>
      <c r="AG62" s="2153"/>
      <c r="AH62" s="1"/>
    </row>
    <row r="63" spans="1:34" ht="15" customHeight="1" x14ac:dyDescent="0.3">
      <c r="B63" s="25" t="s">
        <v>64</v>
      </c>
      <c r="C63" s="25" t="str">
        <f>Questions!AL80</f>
        <v>RAD2</v>
      </c>
      <c r="D63" s="2259" t="str">
        <f>VLOOKUP(C63,Questions!$C$76:$H$149,6,FALSE)</f>
        <v>Will there be a strong system of safeguards, incentives and liabilities to manage contractor/sub-contractor/ equipment  supplier performance during O&amp;M?</v>
      </c>
      <c r="E63" s="2259"/>
      <c r="F63" s="2259"/>
      <c r="G63" s="2259"/>
      <c r="H63" s="2259"/>
      <c r="I63" s="2259"/>
      <c r="J63" s="2259"/>
      <c r="K63" s="2259"/>
      <c r="L63" s="2259"/>
      <c r="M63" s="2259"/>
      <c r="N63" s="2259"/>
      <c r="O63" s="2259"/>
      <c r="P63" s="2259"/>
      <c r="Q63" s="2259"/>
      <c r="R63" s="2259"/>
      <c r="S63" s="2259"/>
      <c r="T63" s="2259"/>
      <c r="U63" s="2259"/>
      <c r="V63" s="2259"/>
      <c r="W63" s="2259"/>
      <c r="X63" s="2259"/>
      <c r="Y63" s="2259"/>
      <c r="Z63" s="2259"/>
      <c r="AA63" s="2259"/>
      <c r="AB63" s="1993" t="s">
        <v>34</v>
      </c>
      <c r="AC63" s="2153"/>
      <c r="AD63" s="2153"/>
      <c r="AE63" s="2153"/>
      <c r="AF63" s="2153"/>
      <c r="AG63" s="2153"/>
      <c r="AH63" s="1"/>
    </row>
    <row r="64" spans="1:34" ht="33" customHeight="1" x14ac:dyDescent="0.3">
      <c r="B64" s="25" t="s">
        <v>65</v>
      </c>
      <c r="C64" s="25" t="str">
        <f>Questions!AL81</f>
        <v>RAD3</v>
      </c>
      <c r="D64" s="2259" t="str">
        <f>VLOOKUP(C64,Questions!$C$76:$H$149,6,FALSE)</f>
        <v>Will the project be able to source the required skills locally or from overseas, in relation to the project's construction and O&amp;M (as applicable)?</v>
      </c>
      <c r="E64" s="2259"/>
      <c r="F64" s="2259"/>
      <c r="G64" s="2259"/>
      <c r="H64" s="2259"/>
      <c r="I64" s="2259"/>
      <c r="J64" s="2259"/>
      <c r="K64" s="2259"/>
      <c r="L64" s="2259"/>
      <c r="M64" s="2259"/>
      <c r="N64" s="2259"/>
      <c r="O64" s="2259"/>
      <c r="P64" s="2259"/>
      <c r="Q64" s="2259"/>
      <c r="R64" s="2259"/>
      <c r="S64" s="2259"/>
      <c r="T64" s="2259"/>
      <c r="U64" s="2259"/>
      <c r="V64" s="2259"/>
      <c r="W64" s="2259"/>
      <c r="X64" s="2259"/>
      <c r="Y64" s="2259"/>
      <c r="Z64" s="2259"/>
      <c r="AA64" s="2259"/>
      <c r="AB64" s="1993" t="s">
        <v>34</v>
      </c>
      <c r="AC64" s="2153"/>
      <c r="AD64" s="2153"/>
      <c r="AE64" s="2153"/>
      <c r="AF64" s="2153"/>
      <c r="AG64" s="2153"/>
      <c r="AH64" s="1"/>
    </row>
    <row r="65" spans="1:34" ht="15" customHeight="1" x14ac:dyDescent="0.3">
      <c r="B65" s="219"/>
      <c r="C65" s="218"/>
      <c r="D65" s="219"/>
      <c r="E65" s="219"/>
      <c r="F65" s="219"/>
      <c r="G65" s="219"/>
      <c r="H65" s="219"/>
      <c r="I65" s="219"/>
      <c r="J65" s="219"/>
      <c r="K65" s="219"/>
      <c r="L65" s="219"/>
      <c r="M65" s="219"/>
      <c r="N65" s="219"/>
      <c r="O65" s="219"/>
      <c r="P65" s="219"/>
      <c r="Q65" s="219"/>
      <c r="R65" s="219"/>
      <c r="S65" s="219"/>
      <c r="T65" s="219"/>
      <c r="U65" s="219"/>
      <c r="V65" s="427"/>
      <c r="W65" s="427"/>
      <c r="X65" s="427"/>
      <c r="Y65" s="427"/>
      <c r="Z65" s="1597"/>
      <c r="AA65" s="579"/>
      <c r="AB65" s="50"/>
      <c r="AC65" s="2261"/>
      <c r="AD65" s="2261"/>
      <c r="AE65" s="2261"/>
      <c r="AF65" s="2261"/>
      <c r="AG65" s="2261"/>
      <c r="AH65" s="1"/>
    </row>
    <row r="66" spans="1:34" ht="15" customHeight="1" x14ac:dyDescent="0.3">
      <c r="B66" s="161">
        <v>5</v>
      </c>
      <c r="C66" s="161"/>
      <c r="D66" s="2244" t="s">
        <v>257</v>
      </c>
      <c r="E66" s="2244"/>
      <c r="F66" s="2244"/>
      <c r="G66" s="2244"/>
      <c r="H66" s="2244"/>
      <c r="I66" s="2244"/>
      <c r="J66" s="2244"/>
      <c r="K66" s="2244"/>
      <c r="L66" s="2244"/>
      <c r="M66" s="2244"/>
      <c r="N66" s="2244"/>
      <c r="O66" s="2244"/>
      <c r="P66" s="2244"/>
      <c r="Q66" s="2244"/>
      <c r="R66" s="2244"/>
      <c r="S66" s="2244"/>
      <c r="T66" s="2244"/>
      <c r="U66" s="2244"/>
      <c r="V66" s="2244"/>
      <c r="W66" s="2244"/>
      <c r="X66" s="2244"/>
      <c r="Y66" s="2244"/>
      <c r="Z66" s="2244"/>
      <c r="AA66" s="2244"/>
      <c r="AB66" s="1997" t="str">
        <f>IF(D67=0,"Not Applicable","")</f>
        <v/>
      </c>
      <c r="AC66" s="2260"/>
      <c r="AD66" s="2260"/>
      <c r="AE66" s="2260"/>
      <c r="AF66" s="2260"/>
      <c r="AG66" s="2260"/>
      <c r="AH66" s="1"/>
    </row>
    <row r="67" spans="1:34" ht="30" customHeight="1" x14ac:dyDescent="0.3">
      <c r="B67" s="25" t="s">
        <v>63</v>
      </c>
      <c r="C67" s="25" t="str">
        <f>IF('0.Basic Project Data'!H13='Data Analysis'!C163,Questions!C149,IF(OR(Questions!$AT$77=Questions!$AP$78,Questions!$AT$77=Questions!$AR$78),Questions!C105,Questions!$C$149))</f>
        <v>RAE1</v>
      </c>
      <c r="D67" s="2259" t="str">
        <f>VLOOKUP(C67,Questions!$C$76:$H$149,6,FALSE)</f>
        <v xml:space="preserve">Will the PPP have a ready baseline of demand or offtake that has been well established through historical data, firm off-take commitments, or exclusivity of service area? </v>
      </c>
      <c r="E67" s="2259"/>
      <c r="F67" s="2259"/>
      <c r="G67" s="2259"/>
      <c r="H67" s="2259"/>
      <c r="I67" s="2259"/>
      <c r="J67" s="2259"/>
      <c r="K67" s="2259"/>
      <c r="L67" s="2259"/>
      <c r="M67" s="2259"/>
      <c r="N67" s="2259"/>
      <c r="O67" s="2259"/>
      <c r="P67" s="2259"/>
      <c r="Q67" s="2259"/>
      <c r="R67" s="2259"/>
      <c r="S67" s="2259"/>
      <c r="T67" s="2259"/>
      <c r="U67" s="2259"/>
      <c r="V67" s="2259"/>
      <c r="W67" s="2259"/>
      <c r="X67" s="2259"/>
      <c r="Y67" s="2259"/>
      <c r="Z67" s="2259"/>
      <c r="AA67" s="2259"/>
      <c r="AB67" s="1993" t="s">
        <v>34</v>
      </c>
      <c r="AC67" s="2153"/>
      <c r="AD67" s="2153"/>
      <c r="AE67" s="2153"/>
      <c r="AF67" s="2153"/>
      <c r="AG67" s="2153"/>
      <c r="AH67" s="1"/>
    </row>
    <row r="68" spans="1:34" ht="30" customHeight="1" x14ac:dyDescent="0.3">
      <c r="B68" s="25" t="s">
        <v>64</v>
      </c>
      <c r="C68" s="25" t="str">
        <f>IF('0.Basic Project Data'!H13='Data Analysis'!C163,Questions!C149,IF(OR(Questions!$AT$77=Questions!$AP$78,Questions!$AT$77=Questions!$AR$78),Questions!C106,Questions!$C$149))</f>
        <v>RAE2</v>
      </c>
      <c r="D68" s="2259" t="str">
        <f>VLOOKUP(C68,Questions!$C$76:$H$149,6,FALSE)</f>
        <v>Are there precedents of similar projects in the country or region, where the actual usage or offtake from the project facility in the initial years has been atleast 85% of the originally projected usage or off-take?</v>
      </c>
      <c r="E68" s="2259"/>
      <c r="F68" s="2259"/>
      <c r="G68" s="2259"/>
      <c r="H68" s="2259"/>
      <c r="I68" s="2259"/>
      <c r="J68" s="2259"/>
      <c r="K68" s="2259"/>
      <c r="L68" s="2259"/>
      <c r="M68" s="2259"/>
      <c r="N68" s="2259"/>
      <c r="O68" s="2259"/>
      <c r="P68" s="2259"/>
      <c r="Q68" s="2259"/>
      <c r="R68" s="2259"/>
      <c r="S68" s="2259"/>
      <c r="T68" s="2259"/>
      <c r="U68" s="2259"/>
      <c r="V68" s="2259"/>
      <c r="W68" s="2259"/>
      <c r="X68" s="2259"/>
      <c r="Y68" s="2259"/>
      <c r="Z68" s="2259"/>
      <c r="AA68" s="2259"/>
      <c r="AB68" s="1993" t="s">
        <v>34</v>
      </c>
      <c r="AC68" s="2153"/>
      <c r="AD68" s="2153"/>
      <c r="AE68" s="2153"/>
      <c r="AF68" s="2153"/>
      <c r="AG68" s="2153"/>
      <c r="AH68" s="1"/>
    </row>
    <row r="69" spans="1:34" ht="21.75" customHeight="1" x14ac:dyDescent="0.3">
      <c r="B69" s="25" t="s">
        <v>65</v>
      </c>
      <c r="C69" s="25" t="str">
        <f>IF('0.Basic Project Data'!H13='Data Analysis'!C163,Questions!C149,IF(OR(Questions!$AT$77=Questions!$AP$78,Questions!$AT$77=Questions!$AR$78),Questions!C107,Questions!$C$149))</f>
        <v>RAE3</v>
      </c>
      <c r="D69" s="2259" t="str">
        <f>VLOOKUP(C69,Questions!$C$76:$H$149,6,FALSE)</f>
        <v>Are there competing projects in the defined market that could impact the ramping up of demand for this PPP project?</v>
      </c>
      <c r="E69" s="2259"/>
      <c r="F69" s="2259"/>
      <c r="G69" s="2259"/>
      <c r="H69" s="2259"/>
      <c r="I69" s="2259"/>
      <c r="J69" s="2259"/>
      <c r="K69" s="2259"/>
      <c r="L69" s="2259"/>
      <c r="M69" s="2259"/>
      <c r="N69" s="2259"/>
      <c r="O69" s="2259"/>
      <c r="P69" s="2259"/>
      <c r="Q69" s="2259"/>
      <c r="R69" s="2259"/>
      <c r="S69" s="2259"/>
      <c r="T69" s="2259"/>
      <c r="U69" s="2259"/>
      <c r="V69" s="2259"/>
      <c r="W69" s="2259"/>
      <c r="X69" s="2259"/>
      <c r="Y69" s="2259"/>
      <c r="Z69" s="2259"/>
      <c r="AA69" s="2259"/>
      <c r="AB69" s="1993" t="s">
        <v>39</v>
      </c>
      <c r="AC69" s="2153"/>
      <c r="AD69" s="2153"/>
      <c r="AE69" s="2153"/>
      <c r="AF69" s="2153"/>
      <c r="AG69" s="2153"/>
      <c r="AH69" s="1"/>
    </row>
    <row r="70" spans="1:34" ht="36" customHeight="1" x14ac:dyDescent="0.3">
      <c r="B70" s="25" t="s">
        <v>66</v>
      </c>
      <c r="C70" s="25" t="str">
        <f>IF('0.Basic Project Data'!H13='Data Analysis'!C163,Questions!C149,IF(OR(Questions!$AT$77=Questions!$AP$78,Questions!$AT$77=Questions!$AR$78),Questions!C108,Questions!$C$149))</f>
        <v>RAE4</v>
      </c>
      <c r="D70" s="2259" t="str">
        <f>VLOOKUP(C70,Questions!$C$76:$H$149,6,FALSE)</f>
        <v>Is there an indication that user charges will be affordable to users? Such as through an assessment of the ability and willingness to pay of the users or benchmarking with similar projects.</v>
      </c>
      <c r="E70" s="2259"/>
      <c r="F70" s="2259"/>
      <c r="G70" s="2259"/>
      <c r="H70" s="2259"/>
      <c r="I70" s="2259"/>
      <c r="J70" s="2259"/>
      <c r="K70" s="2259"/>
      <c r="L70" s="2259"/>
      <c r="M70" s="2259"/>
      <c r="N70" s="2259"/>
      <c r="O70" s="2259"/>
      <c r="P70" s="2259"/>
      <c r="Q70" s="2259"/>
      <c r="R70" s="2259"/>
      <c r="S70" s="2259"/>
      <c r="T70" s="2259"/>
      <c r="U70" s="2259"/>
      <c r="V70" s="2259"/>
      <c r="W70" s="2259"/>
      <c r="X70" s="2259"/>
      <c r="Y70" s="2259"/>
      <c r="Z70" s="2259"/>
      <c r="AA70" s="2259"/>
      <c r="AB70" s="1993" t="s">
        <v>34</v>
      </c>
      <c r="AC70" s="2153"/>
      <c r="AD70" s="2153"/>
      <c r="AE70" s="2153"/>
      <c r="AF70" s="2153"/>
      <c r="AG70" s="2153"/>
      <c r="AH70" s="1"/>
    </row>
    <row r="71" spans="1:34" ht="33" customHeight="1" x14ac:dyDescent="0.3">
      <c r="A71" s="13"/>
      <c r="B71" s="25" t="s">
        <v>69</v>
      </c>
      <c r="C71" s="25" t="str">
        <f>IF('0.Basic Project Data'!H13='Data Analysis'!C163,Questions!C149,IF(OR(Questions!$AT$77=Questions!$AP$78,Questions!$AT$77=Questions!$AR$78),Questions!C109,Questions!$C$149))</f>
        <v>RAE5</v>
      </c>
      <c r="D71" s="2259" t="str">
        <f>VLOOKUP(C71,Questions!$C$76:$H$149,6,FALSE)</f>
        <v>In case of delays in ramping up of demand, will the private sector have some flexibility in repricing tariffs to manage and off-set demand shortfalls in any given year, or would the government provide some level of cash deficiency support or assurances?</v>
      </c>
      <c r="E71" s="2259"/>
      <c r="F71" s="2259"/>
      <c r="G71" s="2259"/>
      <c r="H71" s="2259"/>
      <c r="I71" s="2259"/>
      <c r="J71" s="2259"/>
      <c r="K71" s="2259"/>
      <c r="L71" s="2259"/>
      <c r="M71" s="2259"/>
      <c r="N71" s="2259"/>
      <c r="O71" s="2259"/>
      <c r="P71" s="2259"/>
      <c r="Q71" s="2259"/>
      <c r="R71" s="2259"/>
      <c r="S71" s="2259"/>
      <c r="T71" s="2259"/>
      <c r="U71" s="2259"/>
      <c r="V71" s="2259"/>
      <c r="W71" s="2259"/>
      <c r="X71" s="2259"/>
      <c r="Y71" s="2259"/>
      <c r="Z71" s="2259"/>
      <c r="AA71" s="2259"/>
      <c r="AB71" s="1993" t="s">
        <v>34</v>
      </c>
      <c r="AC71" s="2153"/>
      <c r="AD71" s="2153"/>
      <c r="AE71" s="2153"/>
      <c r="AF71" s="2153"/>
      <c r="AG71" s="2153"/>
      <c r="AH71" s="1"/>
    </row>
    <row r="72" spans="1:34" ht="15" customHeight="1" x14ac:dyDescent="0.3">
      <c r="B72" s="25" t="s">
        <v>95</v>
      </c>
      <c r="C72" s="25" t="str">
        <f>IF('0.Basic Project Data'!H13='Data Analysis'!C163,Questions!C149,IF(OR(Questions!$AT$77=Questions!$AP$78,Questions!$AT$77=Questions!$AR$78),Questions!C110,Questions!$C$149))</f>
        <v>RAE6</v>
      </c>
      <c r="D72" s="2259" t="str">
        <f>VLOOKUP(C72,Questions!$C$76:$H$149,6,FALSE)</f>
        <v xml:space="preserve">Is there a transparent and well-defined process for setting user charges and managing their increase? </v>
      </c>
      <c r="E72" s="2259"/>
      <c r="F72" s="2259"/>
      <c r="G72" s="2259"/>
      <c r="H72" s="2259"/>
      <c r="I72" s="2259"/>
      <c r="J72" s="2259"/>
      <c r="K72" s="2259"/>
      <c r="L72" s="2259"/>
      <c r="M72" s="2259"/>
      <c r="N72" s="2259"/>
      <c r="O72" s="2259"/>
      <c r="P72" s="2259"/>
      <c r="Q72" s="2259"/>
      <c r="R72" s="2259"/>
      <c r="S72" s="2259"/>
      <c r="T72" s="2259"/>
      <c r="U72" s="2259"/>
      <c r="V72" s="2259"/>
      <c r="W72" s="2259"/>
      <c r="X72" s="2259"/>
      <c r="Y72" s="2259"/>
      <c r="Z72" s="2259"/>
      <c r="AA72" s="2259"/>
      <c r="AB72" s="1993" t="s">
        <v>34</v>
      </c>
      <c r="AC72" s="2153"/>
      <c r="AD72" s="2153"/>
      <c r="AE72" s="2153"/>
      <c r="AF72" s="2153"/>
      <c r="AG72" s="2153"/>
      <c r="AH72" s="1"/>
    </row>
    <row r="73" spans="1:34" ht="15" customHeight="1" x14ac:dyDescent="0.3">
      <c r="B73" s="427"/>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50"/>
      <c r="AC73" s="2261"/>
      <c r="AD73" s="2261"/>
      <c r="AE73" s="2261"/>
      <c r="AF73" s="2261"/>
      <c r="AG73" s="2261"/>
      <c r="AH73" s="1"/>
    </row>
    <row r="74" spans="1:34" ht="15" customHeight="1" x14ac:dyDescent="0.3">
      <c r="B74" s="161">
        <v>6</v>
      </c>
      <c r="C74" s="161"/>
      <c r="D74" s="2244" t="s">
        <v>256</v>
      </c>
      <c r="E74" s="2244"/>
      <c r="F74" s="2244"/>
      <c r="G74" s="2244"/>
      <c r="H74" s="2244"/>
      <c r="I74" s="2244"/>
      <c r="J74" s="2244"/>
      <c r="K74" s="2244"/>
      <c r="L74" s="2244"/>
      <c r="M74" s="2244"/>
      <c r="N74" s="2244"/>
      <c r="O74" s="2244"/>
      <c r="P74" s="2244"/>
      <c r="Q74" s="2244"/>
      <c r="R74" s="2244"/>
      <c r="S74" s="2244"/>
      <c r="T74" s="2244"/>
      <c r="U74" s="2244"/>
      <c r="V74" s="2244"/>
      <c r="W74" s="2244"/>
      <c r="X74" s="2244"/>
      <c r="Y74" s="2244"/>
      <c r="Z74" s="2244"/>
      <c r="AA74" s="2244"/>
      <c r="AB74" s="1997" t="str">
        <f>IF(D75=0,"Not Applicable","")</f>
        <v/>
      </c>
      <c r="AC74" s="2260"/>
      <c r="AD74" s="2260"/>
      <c r="AE74" s="2260"/>
      <c r="AF74" s="2260"/>
      <c r="AG74" s="2260"/>
      <c r="AH74" s="1"/>
    </row>
    <row r="75" spans="1:34" ht="30.75" customHeight="1" x14ac:dyDescent="0.3">
      <c r="B75" s="25" t="s">
        <v>63</v>
      </c>
      <c r="C75" s="25" t="str">
        <f>IF('0.Basic Project Data'!H22='Data Analysis'!C157,Questions!C149,Questions!AT79)</f>
        <v>RAG2</v>
      </c>
      <c r="D75" s="2259" t="str">
        <f>VLOOKUP(C75,Questions!$C$76:$H$149,6,FALSE)</f>
        <v>Does the government counter party have high credit worthiness? Such as may be reflected through its financial position or outstanding credit ratings issued by independent credit rating agencies.</v>
      </c>
      <c r="E75" s="2259"/>
      <c r="F75" s="2259"/>
      <c r="G75" s="2259"/>
      <c r="H75" s="2259"/>
      <c r="I75" s="2259"/>
      <c r="J75" s="2259"/>
      <c r="K75" s="2259"/>
      <c r="L75" s="2259"/>
      <c r="M75" s="2259"/>
      <c r="N75" s="2259"/>
      <c r="O75" s="2259"/>
      <c r="P75" s="2259"/>
      <c r="Q75" s="2259"/>
      <c r="R75" s="2259"/>
      <c r="S75" s="2259"/>
      <c r="T75" s="2259"/>
      <c r="U75" s="2259"/>
      <c r="V75" s="2259"/>
      <c r="W75" s="2259"/>
      <c r="X75" s="2259"/>
      <c r="Y75" s="2259"/>
      <c r="Z75" s="2259"/>
      <c r="AA75" s="2259"/>
      <c r="AB75" s="1744" t="s">
        <v>34</v>
      </c>
      <c r="AC75" s="2153"/>
      <c r="AD75" s="2153"/>
      <c r="AE75" s="2153"/>
      <c r="AF75" s="2153"/>
      <c r="AG75" s="2153"/>
      <c r="AH75" s="1"/>
    </row>
    <row r="76" spans="1:34" ht="15" customHeight="1" x14ac:dyDescent="0.3">
      <c r="B76" s="25" t="s">
        <v>64</v>
      </c>
      <c r="C76" s="25" t="str">
        <f>IF('0.Basic Project Data'!H22='Data Analysis'!C157,Questions!C149,Questions!AT80)</f>
        <v>RAG3</v>
      </c>
      <c r="D76" s="2259" t="str">
        <f>VLOOKUP(C76,Questions!$C$76:$H$149,6,FALSE)</f>
        <v>Are payments secured through budgetary arrangements and/or backed by dedicated funds or funding sources?</v>
      </c>
      <c r="E76" s="2259"/>
      <c r="F76" s="2259"/>
      <c r="G76" s="2259"/>
      <c r="H76" s="2259"/>
      <c r="I76" s="2259"/>
      <c r="J76" s="2259"/>
      <c r="K76" s="2259"/>
      <c r="L76" s="2259"/>
      <c r="M76" s="2259"/>
      <c r="N76" s="2259"/>
      <c r="O76" s="2259"/>
      <c r="P76" s="2259"/>
      <c r="Q76" s="2259"/>
      <c r="R76" s="2259"/>
      <c r="S76" s="2259"/>
      <c r="T76" s="2259"/>
      <c r="U76" s="2259"/>
      <c r="V76" s="2259"/>
      <c r="W76" s="2259"/>
      <c r="X76" s="2259"/>
      <c r="Y76" s="2259"/>
      <c r="Z76" s="2259"/>
      <c r="AA76" s="2259"/>
      <c r="AB76" s="1744" t="s">
        <v>34</v>
      </c>
      <c r="AC76" s="2153"/>
      <c r="AD76" s="2153"/>
      <c r="AE76" s="2153"/>
      <c r="AF76" s="2153"/>
      <c r="AG76" s="2153"/>
      <c r="AH76" s="1"/>
    </row>
    <row r="77" spans="1:34" ht="34.5" customHeight="1" x14ac:dyDescent="0.3">
      <c r="B77" s="25" t="s">
        <v>65</v>
      </c>
      <c r="C77" s="25" t="str">
        <f>IF('0.Basic Project Data'!H22='Data Analysis'!C157,Questions!C149,Questions!AT81)</f>
        <v>RAG4</v>
      </c>
      <c r="D77" s="2259" t="str">
        <f>VLOOKUP(C77,Questions!$C$76:$H$149,6,FALSE)</f>
        <v>Are guarantees, payment security measures or other cash contingency measures envisaged to support the PPP project in obtaining timely payments in relation to the payment obligations of the contracting authority?</v>
      </c>
      <c r="E77" s="2259"/>
      <c r="F77" s="2259"/>
      <c r="G77" s="2259"/>
      <c r="H77" s="2259"/>
      <c r="I77" s="2259"/>
      <c r="J77" s="2259"/>
      <c r="K77" s="2259"/>
      <c r="L77" s="2259"/>
      <c r="M77" s="2259"/>
      <c r="N77" s="2259"/>
      <c r="O77" s="2259"/>
      <c r="P77" s="2259"/>
      <c r="Q77" s="2259"/>
      <c r="R77" s="2259"/>
      <c r="S77" s="2259"/>
      <c r="T77" s="2259"/>
      <c r="U77" s="2259"/>
      <c r="V77" s="2259"/>
      <c r="W77" s="2259"/>
      <c r="X77" s="2259"/>
      <c r="Y77" s="2259"/>
      <c r="Z77" s="2259"/>
      <c r="AA77" s="2259"/>
      <c r="AB77" s="1744" t="s">
        <v>34</v>
      </c>
      <c r="AC77" s="2153"/>
      <c r="AD77" s="2153"/>
      <c r="AE77" s="2153"/>
      <c r="AF77" s="2153"/>
      <c r="AG77" s="2153"/>
      <c r="AH77" s="1"/>
    </row>
    <row r="78" spans="1:34" ht="33.75" customHeight="1" x14ac:dyDescent="0.3">
      <c r="B78" s="25" t="s">
        <v>66</v>
      </c>
      <c r="C78" s="25" t="str">
        <f>IF('0.Basic Project Data'!H22='Data Analysis'!C157,Questions!C149,Questions!AT82)</f>
        <v>RAG5</v>
      </c>
      <c r="D78" s="2259" t="str">
        <f>VLOOKUP(C78,Questions!$C$76:$H$149,6,FALSE)</f>
        <v>In the event of disputes on payments linked to performance measurements, are there arrangements envisaged to release the undisputed amount or is there a cap on the maximum amount that can be retained by the offtaker pending the dispute?</v>
      </c>
      <c r="E78" s="2259"/>
      <c r="F78" s="2259"/>
      <c r="G78" s="2259"/>
      <c r="H78" s="2259"/>
      <c r="I78" s="2259"/>
      <c r="J78" s="2259"/>
      <c r="K78" s="2259"/>
      <c r="L78" s="2259"/>
      <c r="M78" s="2259"/>
      <c r="N78" s="2259"/>
      <c r="O78" s="2259"/>
      <c r="P78" s="2259"/>
      <c r="Q78" s="2259"/>
      <c r="R78" s="2259"/>
      <c r="S78" s="2259"/>
      <c r="T78" s="2259"/>
      <c r="U78" s="2259"/>
      <c r="V78" s="2259"/>
      <c r="W78" s="2259"/>
      <c r="X78" s="2259"/>
      <c r="Y78" s="2259"/>
      <c r="Z78" s="2259"/>
      <c r="AA78" s="2259"/>
      <c r="AB78" s="1744" t="s">
        <v>34</v>
      </c>
      <c r="AC78" s="2153"/>
      <c r="AD78" s="2153"/>
      <c r="AE78" s="2153"/>
      <c r="AF78" s="2153"/>
      <c r="AG78" s="2153"/>
      <c r="AH78" s="1"/>
    </row>
    <row r="79" spans="1:34" ht="15" customHeight="1" x14ac:dyDescent="0.3">
      <c r="B79" s="218"/>
      <c r="C79" s="218"/>
      <c r="D79" s="219"/>
      <c r="E79" s="219"/>
      <c r="F79" s="219"/>
      <c r="G79" s="219"/>
      <c r="H79" s="219"/>
      <c r="I79" s="219"/>
      <c r="J79" s="219"/>
      <c r="K79" s="219"/>
      <c r="L79" s="219"/>
      <c r="M79" s="219"/>
      <c r="N79" s="219"/>
      <c r="O79" s="219"/>
      <c r="P79" s="219"/>
      <c r="Q79" s="219"/>
      <c r="R79" s="219"/>
      <c r="S79" s="219"/>
      <c r="T79" s="219"/>
      <c r="U79" s="219"/>
      <c r="V79" s="427"/>
      <c r="W79" s="427"/>
      <c r="X79" s="427"/>
      <c r="Y79" s="427"/>
      <c r="Z79" s="1597"/>
      <c r="AA79" s="579"/>
      <c r="AB79" s="1996"/>
      <c r="AC79" s="2153"/>
      <c r="AD79" s="2153"/>
      <c r="AE79" s="2153"/>
      <c r="AF79" s="2153"/>
      <c r="AG79" s="2153"/>
      <c r="AH79" s="1"/>
    </row>
    <row r="80" spans="1:34" s="13" customFormat="1" ht="15" customHeight="1" x14ac:dyDescent="0.3">
      <c r="A80" s="47"/>
      <c r="B80" s="161">
        <v>7</v>
      </c>
      <c r="C80" s="161"/>
      <c r="D80" s="2244" t="s">
        <v>405</v>
      </c>
      <c r="E80" s="2244"/>
      <c r="F80" s="2244"/>
      <c r="G80" s="2244"/>
      <c r="H80" s="2244"/>
      <c r="I80" s="2244"/>
      <c r="J80" s="2244"/>
      <c r="K80" s="2244"/>
      <c r="L80" s="2244"/>
      <c r="M80" s="2244"/>
      <c r="N80" s="2244"/>
      <c r="O80" s="2244"/>
      <c r="P80" s="2244"/>
      <c r="Q80" s="2244"/>
      <c r="R80" s="2244"/>
      <c r="S80" s="2244"/>
      <c r="T80" s="2244"/>
      <c r="U80" s="2244"/>
      <c r="V80" s="2244"/>
      <c r="W80" s="2244"/>
      <c r="X80" s="2244"/>
      <c r="Y80" s="2244"/>
      <c r="Z80" s="2244"/>
      <c r="AA80" s="2244"/>
      <c r="AB80" s="1112" t="str">
        <f>IF(D81=0,"Not Applicable","")</f>
        <v/>
      </c>
      <c r="AC80" s="2286"/>
      <c r="AD80" s="2286"/>
      <c r="AE80" s="2286"/>
      <c r="AF80" s="2286"/>
      <c r="AG80" s="2286"/>
      <c r="AH80" s="625"/>
    </row>
    <row r="81" spans="1:34" ht="29.25" customHeight="1" x14ac:dyDescent="0.3">
      <c r="B81" s="25" t="s">
        <v>63</v>
      </c>
      <c r="C81" s="161" t="str">
        <f>IF('Data Analysis'!F402="No",Questions!C149,Questions!C128)</f>
        <v>RAH3</v>
      </c>
      <c r="D81" s="2259" t="str">
        <f>VLOOKUP(C81,Questions!$C$76:$H$149,6,FALSE)</f>
        <v>Will the project be able to manage the foreign exchange risk by obtaining an adequate hedging cover? For example, through forward exchange contracts, options, or similar arrangements.</v>
      </c>
      <c r="E81" s="2259"/>
      <c r="F81" s="2259"/>
      <c r="G81" s="2259"/>
      <c r="H81" s="2259"/>
      <c r="I81" s="2259"/>
      <c r="J81" s="2259"/>
      <c r="K81" s="2259"/>
      <c r="L81" s="2259"/>
      <c r="M81" s="2259"/>
      <c r="N81" s="2259"/>
      <c r="O81" s="2259"/>
      <c r="P81" s="2259"/>
      <c r="Q81" s="2259"/>
      <c r="R81" s="2259"/>
      <c r="S81" s="2259"/>
      <c r="T81" s="2259"/>
      <c r="U81" s="2259"/>
      <c r="V81" s="2259"/>
      <c r="W81" s="2259"/>
      <c r="X81" s="2259"/>
      <c r="Y81" s="2259"/>
      <c r="Z81" s="2259"/>
      <c r="AA81" s="2259"/>
      <c r="AB81" s="1744" t="s">
        <v>34</v>
      </c>
      <c r="AC81" s="2153"/>
      <c r="AD81" s="2153"/>
      <c r="AE81" s="2153"/>
      <c r="AF81" s="2153"/>
      <c r="AG81" s="2153"/>
      <c r="AH81" s="1"/>
    </row>
    <row r="82" spans="1:34" ht="15" customHeight="1" x14ac:dyDescent="0.3">
      <c r="B82" s="25" t="str">
        <f>IF($D$86=0,"(i)","(ii)")</f>
        <v>(ii)</v>
      </c>
      <c r="C82" s="161" t="str">
        <f>IF(D81=0,Questions!C149,Questions!C129)</f>
        <v>RAH4</v>
      </c>
      <c r="D82" s="2259" t="str">
        <f>VLOOKUP(C82,Questions!$C$76:$H$149,6,FALSE)</f>
        <v>Have all the costs related to foreign exchange risk been factored into the financial assessment?</v>
      </c>
      <c r="E82" s="2259"/>
      <c r="F82" s="2259"/>
      <c r="G82" s="2259"/>
      <c r="H82" s="2259"/>
      <c r="I82" s="2259"/>
      <c r="J82" s="2259"/>
      <c r="K82" s="2259"/>
      <c r="L82" s="2259"/>
      <c r="M82" s="2259"/>
      <c r="N82" s="2259"/>
      <c r="O82" s="2259"/>
      <c r="P82" s="2259"/>
      <c r="Q82" s="2259"/>
      <c r="R82" s="2259"/>
      <c r="S82" s="2259"/>
      <c r="T82" s="2259"/>
      <c r="U82" s="2259"/>
      <c r="V82" s="2259"/>
      <c r="W82" s="2259"/>
      <c r="X82" s="2259"/>
      <c r="Y82" s="2259"/>
      <c r="Z82" s="2259"/>
      <c r="AA82" s="2259"/>
      <c r="AB82" s="1744" t="s">
        <v>34</v>
      </c>
      <c r="AC82" s="2153"/>
      <c r="AD82" s="2153"/>
      <c r="AE82" s="2153"/>
      <c r="AF82" s="2153"/>
      <c r="AG82" s="2153"/>
      <c r="AH82" s="1"/>
    </row>
    <row r="83" spans="1:34" ht="33.75" customHeight="1" x14ac:dyDescent="0.3">
      <c r="B83" s="25" t="str">
        <f>IF($D$86=0,"(ii)","(iii)")</f>
        <v>(iii)</v>
      </c>
      <c r="C83" s="161" t="str">
        <f>IF(D81=0,Questions!C149,Questions!C130)</f>
        <v>RAH5</v>
      </c>
      <c r="D83" s="2259" t="str">
        <f>VLOOKUP(C83,Questions!$C$76:$H$149,6,FALSE)</f>
        <v>Are there any other factors or concerns related to foreign exchange risk that could severly impact the project's financial viability or ability to raise financing?</v>
      </c>
      <c r="E83" s="2259"/>
      <c r="F83" s="2259"/>
      <c r="G83" s="2259"/>
      <c r="H83" s="2259"/>
      <c r="I83" s="2259"/>
      <c r="J83" s="2259"/>
      <c r="K83" s="2259"/>
      <c r="L83" s="2259"/>
      <c r="M83" s="2259"/>
      <c r="N83" s="2259"/>
      <c r="O83" s="2259"/>
      <c r="P83" s="2259"/>
      <c r="Q83" s="2259"/>
      <c r="R83" s="2259"/>
      <c r="S83" s="2259"/>
      <c r="T83" s="2259"/>
      <c r="U83" s="2259"/>
      <c r="V83" s="2259"/>
      <c r="W83" s="2259"/>
      <c r="X83" s="2259"/>
      <c r="Y83" s="2259"/>
      <c r="Z83" s="2259"/>
      <c r="AA83" s="2259"/>
      <c r="AB83" s="1744" t="s">
        <v>39</v>
      </c>
      <c r="AC83" s="2153"/>
      <c r="AD83" s="2153"/>
      <c r="AE83" s="2153"/>
      <c r="AF83" s="2153"/>
      <c r="AG83" s="2153"/>
      <c r="AH83" s="1"/>
    </row>
    <row r="84" spans="1:34" ht="15" customHeight="1" x14ac:dyDescent="0.3">
      <c r="B84" s="427"/>
      <c r="C84" s="427"/>
      <c r="D84" s="48"/>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2000"/>
      <c r="AC84" s="2153"/>
      <c r="AD84" s="2153"/>
      <c r="AE84" s="2153"/>
      <c r="AF84" s="2153"/>
      <c r="AG84" s="2153"/>
      <c r="AH84" s="1"/>
    </row>
    <row r="85" spans="1:34" ht="15" customHeight="1" x14ac:dyDescent="0.3">
      <c r="B85" s="161">
        <v>8</v>
      </c>
      <c r="C85" s="161"/>
      <c r="D85" s="2244" t="s">
        <v>164</v>
      </c>
      <c r="E85" s="2244"/>
      <c r="F85" s="2244"/>
      <c r="G85" s="2244"/>
      <c r="H85" s="2244"/>
      <c r="I85" s="2244"/>
      <c r="J85" s="2244"/>
      <c r="K85" s="2244"/>
      <c r="L85" s="2244"/>
      <c r="M85" s="2244"/>
      <c r="N85" s="2244"/>
      <c r="O85" s="2244"/>
      <c r="P85" s="2244"/>
      <c r="Q85" s="2244"/>
      <c r="R85" s="2244"/>
      <c r="S85" s="2244"/>
      <c r="T85" s="2244"/>
      <c r="U85" s="2244"/>
      <c r="V85" s="2244"/>
      <c r="W85" s="2244"/>
      <c r="X85" s="2244"/>
      <c r="Y85" s="2244"/>
      <c r="Z85" s="2244"/>
      <c r="AA85" s="2244"/>
      <c r="AB85" s="1997" t="str">
        <f>IF(D87=0,"Not Applicable","")</f>
        <v/>
      </c>
      <c r="AC85" s="2260"/>
      <c r="AD85" s="2260"/>
      <c r="AE85" s="2260"/>
      <c r="AF85" s="2260"/>
      <c r="AG85" s="2260"/>
      <c r="AH85" s="1"/>
    </row>
    <row r="86" spans="1:34" ht="15" customHeight="1" x14ac:dyDescent="0.3">
      <c r="B86" s="161" t="s">
        <v>63</v>
      </c>
      <c r="C86" s="161" t="str">
        <f>Questions!BB79</f>
        <v>RAI1</v>
      </c>
      <c r="D86" s="2262" t="str">
        <f>VLOOKUP(C86,Questions!$C$76:$H$149,6,FALSE)</f>
        <v>Is there a credible environmental and social impact analysis of the PPP?</v>
      </c>
      <c r="E86" s="2262"/>
      <c r="F86" s="2262"/>
      <c r="G86" s="2262"/>
      <c r="H86" s="2262"/>
      <c r="I86" s="2262"/>
      <c r="J86" s="2262"/>
      <c r="K86" s="2262"/>
      <c r="L86" s="2262"/>
      <c r="M86" s="2262"/>
      <c r="N86" s="2262"/>
      <c r="O86" s="2262"/>
      <c r="P86" s="2262"/>
      <c r="Q86" s="2262"/>
      <c r="R86" s="2262"/>
      <c r="S86" s="2262"/>
      <c r="T86" s="2262"/>
      <c r="U86" s="2262"/>
      <c r="V86" s="2262"/>
      <c r="W86" s="2262"/>
      <c r="X86" s="2262"/>
      <c r="Y86" s="2262"/>
      <c r="Z86" s="2262"/>
      <c r="AA86" s="2262"/>
      <c r="AB86" s="1993" t="s">
        <v>34</v>
      </c>
      <c r="AC86" s="2153"/>
      <c r="AD86" s="2153"/>
      <c r="AE86" s="2153"/>
      <c r="AF86" s="2153"/>
      <c r="AG86" s="2153"/>
      <c r="AH86" s="1"/>
    </row>
    <row r="87" spans="1:34" ht="15" customHeight="1" x14ac:dyDescent="0.3">
      <c r="B87" s="25" t="str">
        <f>IF($D$86=0,"(i)","(ii)")</f>
        <v>(ii)</v>
      </c>
      <c r="C87" s="25" t="str">
        <f>Questions!BB80</f>
        <v>RAI2</v>
      </c>
      <c r="D87" s="2259" t="str">
        <f>VLOOKUP(C87,Questions!$C$76:$H$149,6,FALSE)</f>
        <v>Are the costs of mitigating the environmental and social impacts of the project considered in the PPP?</v>
      </c>
      <c r="E87" s="2259"/>
      <c r="F87" s="2259"/>
      <c r="G87" s="2259"/>
      <c r="H87" s="2259"/>
      <c r="I87" s="2259"/>
      <c r="J87" s="2259"/>
      <c r="K87" s="2259"/>
      <c r="L87" s="2259"/>
      <c r="M87" s="2259"/>
      <c r="N87" s="2259"/>
      <c r="O87" s="2259"/>
      <c r="P87" s="2259"/>
      <c r="Q87" s="2259"/>
      <c r="R87" s="2259"/>
      <c r="S87" s="2259"/>
      <c r="T87" s="2259"/>
      <c r="U87" s="2259"/>
      <c r="V87" s="2259"/>
      <c r="W87" s="2259"/>
      <c r="X87" s="2259"/>
      <c r="Y87" s="2259"/>
      <c r="Z87" s="2259"/>
      <c r="AA87" s="2259"/>
      <c r="AB87" s="1744" t="s">
        <v>34</v>
      </c>
      <c r="AC87" s="2153"/>
      <c r="AD87" s="2153"/>
      <c r="AE87" s="2153"/>
      <c r="AF87" s="2153"/>
      <c r="AG87" s="2153"/>
      <c r="AH87" s="1"/>
    </row>
    <row r="88" spans="1:34" ht="15" customHeight="1" x14ac:dyDescent="0.3">
      <c r="B88" s="25" t="str">
        <f>IF($D$86=0,"(ii)","(iii)")</f>
        <v>(iii)</v>
      </c>
      <c r="C88" s="25" t="str">
        <f>Questions!BB81</f>
        <v>RAI3</v>
      </c>
      <c r="D88" s="2259" t="str">
        <f>VLOOKUP(C88,Questions!$C$76:$H$149,6,FALSE)</f>
        <v>Can the private sector manage the environmental and social impact mitigation measures envisaged in its scope?</v>
      </c>
      <c r="E88" s="2259"/>
      <c r="F88" s="2259"/>
      <c r="G88" s="2259"/>
      <c r="H88" s="2259"/>
      <c r="I88" s="2259"/>
      <c r="J88" s="2259"/>
      <c r="K88" s="2259"/>
      <c r="L88" s="2259"/>
      <c r="M88" s="2259"/>
      <c r="N88" s="2259"/>
      <c r="O88" s="2259"/>
      <c r="P88" s="2259"/>
      <c r="Q88" s="2259"/>
      <c r="R88" s="2259"/>
      <c r="S88" s="2259"/>
      <c r="T88" s="2259"/>
      <c r="U88" s="2259"/>
      <c r="V88" s="2259"/>
      <c r="W88" s="2259"/>
      <c r="X88" s="2259"/>
      <c r="Y88" s="2259"/>
      <c r="Z88" s="2259"/>
      <c r="AA88" s="2259"/>
      <c r="AB88" s="1744" t="s">
        <v>34</v>
      </c>
      <c r="AC88" s="2153"/>
      <c r="AD88" s="2153"/>
      <c r="AE88" s="2153"/>
      <c r="AF88" s="2153"/>
      <c r="AG88" s="2153"/>
      <c r="AH88" s="1"/>
    </row>
    <row r="89" spans="1:34" ht="15" customHeight="1" x14ac:dyDescent="0.3">
      <c r="B89" s="25" t="str">
        <f>IF($D$86=0,"(iii)","(iv)")</f>
        <v>(iv)</v>
      </c>
      <c r="C89" s="25" t="str">
        <f>Questions!BB82</f>
        <v>RAI4</v>
      </c>
      <c r="D89" s="2259" t="str">
        <f>VLOOKUP(C89,Questions!$C$76:$H$149,6,FALSE)</f>
        <v>Will the private sector take on environmental and social risks applicable after the contract signing date and not prior period liabilities?</v>
      </c>
      <c r="E89" s="2259"/>
      <c r="F89" s="2259"/>
      <c r="G89" s="2259"/>
      <c r="H89" s="2259"/>
      <c r="I89" s="2259"/>
      <c r="J89" s="2259"/>
      <c r="K89" s="2259"/>
      <c r="L89" s="2259"/>
      <c r="M89" s="2259"/>
      <c r="N89" s="2259"/>
      <c r="O89" s="2259"/>
      <c r="P89" s="2259"/>
      <c r="Q89" s="2259"/>
      <c r="R89" s="2259"/>
      <c r="S89" s="2259"/>
      <c r="T89" s="2259"/>
      <c r="U89" s="2259"/>
      <c r="V89" s="2259"/>
      <c r="W89" s="2259"/>
      <c r="X89" s="2259"/>
      <c r="Y89" s="2259"/>
      <c r="Z89" s="2259"/>
      <c r="AA89" s="2259"/>
      <c r="AB89" s="1744" t="s">
        <v>34</v>
      </c>
      <c r="AC89" s="2153"/>
      <c r="AD89" s="2153"/>
      <c r="AE89" s="2153"/>
      <c r="AF89" s="2153"/>
      <c r="AG89" s="2153"/>
      <c r="AH89" s="1"/>
    </row>
    <row r="90" spans="1:34" ht="33.6" customHeight="1" x14ac:dyDescent="0.3">
      <c r="B90" s="25" t="str">
        <f>IF($D$86=0,"(iv)","(v)")</f>
        <v>(v)</v>
      </c>
      <c r="C90" s="25" t="str">
        <f>Questions!BB83</f>
        <v>RAI5</v>
      </c>
      <c r="D90" s="2259" t="str">
        <f>VLOOKUP(C90,Questions!$C$76:$H$149,6,FALSE)</f>
        <v xml:space="preserve">Will there be contractual measures to ensure that the project financials are reset in the event of delays in executing mitigation for reasons beyond the control of the project company? </v>
      </c>
      <c r="E90" s="2259"/>
      <c r="F90" s="2259"/>
      <c r="G90" s="2259"/>
      <c r="H90" s="2259"/>
      <c r="I90" s="2259"/>
      <c r="J90" s="2259"/>
      <c r="K90" s="2259"/>
      <c r="L90" s="2259"/>
      <c r="M90" s="2259"/>
      <c r="N90" s="2259"/>
      <c r="O90" s="2259"/>
      <c r="P90" s="2259"/>
      <c r="Q90" s="2259"/>
      <c r="R90" s="2259"/>
      <c r="S90" s="2259"/>
      <c r="T90" s="2259"/>
      <c r="U90" s="2259"/>
      <c r="V90" s="2259"/>
      <c r="W90" s="2259"/>
      <c r="X90" s="2259"/>
      <c r="Y90" s="2259"/>
      <c r="Z90" s="2259"/>
      <c r="AA90" s="2259"/>
      <c r="AB90" s="1744" t="s">
        <v>34</v>
      </c>
      <c r="AC90" s="2153"/>
      <c r="AD90" s="2153"/>
      <c r="AE90" s="2153"/>
      <c r="AF90" s="2153"/>
      <c r="AG90" s="2153"/>
      <c r="AH90" s="1"/>
    </row>
    <row r="91" spans="1:34" ht="15" customHeight="1" x14ac:dyDescent="0.3">
      <c r="D91" s="48"/>
      <c r="E91" s="50"/>
      <c r="F91" s="50"/>
      <c r="G91" s="50"/>
      <c r="AB91" s="2000"/>
      <c r="AC91" s="2153"/>
      <c r="AD91" s="2153"/>
      <c r="AE91" s="2153"/>
      <c r="AF91" s="2153"/>
      <c r="AG91" s="2153"/>
      <c r="AH91" s="1"/>
    </row>
    <row r="92" spans="1:34" ht="15" customHeight="1" x14ac:dyDescent="0.3">
      <c r="AB92" s="2000"/>
      <c r="AC92" s="2153"/>
      <c r="AD92" s="2153"/>
      <c r="AE92" s="2153"/>
      <c r="AF92" s="2153"/>
      <c r="AG92" s="2153"/>
      <c r="AH92" s="1"/>
    </row>
    <row r="93" spans="1:34" ht="8.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5" spans="1:34" ht="15.75" customHeight="1" x14ac:dyDescent="0.3"/>
    <row r="96" spans="1:34" ht="15.75" customHeight="1" x14ac:dyDescent="0.3"/>
    <row r="97" spans="2:2" ht="15.75" customHeight="1" x14ac:dyDescent="0.3"/>
    <row r="98" spans="2:2" ht="15.75" customHeight="1" x14ac:dyDescent="0.3"/>
    <row r="99" spans="2:2" ht="16.5" customHeight="1" x14ac:dyDescent="0.3"/>
    <row r="100" spans="2:2" ht="6" customHeight="1" x14ac:dyDescent="0.3"/>
    <row r="101" spans="2:2" x14ac:dyDescent="0.3">
      <c r="B101" s="36"/>
    </row>
    <row r="102" spans="2:2" x14ac:dyDescent="0.3">
      <c r="B102" s="36"/>
    </row>
    <row r="103" spans="2:2" x14ac:dyDescent="0.3">
      <c r="B103" s="36"/>
    </row>
    <row r="104" spans="2:2" x14ac:dyDescent="0.3">
      <c r="B104" s="36"/>
    </row>
    <row r="105" spans="2:2" x14ac:dyDescent="0.3">
      <c r="B105" s="36"/>
    </row>
    <row r="106" spans="2:2" x14ac:dyDescent="0.3">
      <c r="B106" s="36"/>
    </row>
    <row r="107" spans="2:2" x14ac:dyDescent="0.3">
      <c r="B107" s="36"/>
    </row>
    <row r="108" spans="2:2" x14ac:dyDescent="0.3">
      <c r="B108" s="36"/>
    </row>
    <row r="109" spans="2:2" ht="4.5" customHeight="1" x14ac:dyDescent="0.3"/>
    <row r="110" spans="2:2" x14ac:dyDescent="0.3">
      <c r="B110" s="36"/>
    </row>
    <row r="111" spans="2:2" x14ac:dyDescent="0.3">
      <c r="B111" s="36"/>
    </row>
    <row r="112" spans="2:2" x14ac:dyDescent="0.3">
      <c r="B112" s="36"/>
    </row>
    <row r="113" spans="2:27" x14ac:dyDescent="0.3">
      <c r="B113" s="36"/>
    </row>
    <row r="114" spans="2:27" x14ac:dyDescent="0.3">
      <c r="B114" s="36"/>
    </row>
    <row r="115" spans="2:27" x14ac:dyDescent="0.3">
      <c r="B115" s="36"/>
    </row>
    <row r="116" spans="2:27" ht="5.25" customHeight="1" x14ac:dyDescent="0.3">
      <c r="B116" s="36"/>
    </row>
    <row r="117" spans="2:27" x14ac:dyDescent="0.3">
      <c r="B117" s="36"/>
      <c r="C117" s="36"/>
      <c r="D117" s="36"/>
      <c r="E117" s="59"/>
      <c r="F117" s="36"/>
      <c r="G117" s="36"/>
      <c r="H117" s="36"/>
      <c r="I117" s="36"/>
      <c r="J117" s="36"/>
      <c r="K117" s="36"/>
      <c r="L117" s="36"/>
      <c r="M117" s="36"/>
      <c r="N117" s="36"/>
      <c r="O117" s="36"/>
      <c r="P117" s="36"/>
      <c r="Q117" s="36"/>
      <c r="R117" s="36"/>
      <c r="S117" s="36"/>
      <c r="T117" s="36"/>
      <c r="U117" s="36"/>
      <c r="V117" s="36"/>
      <c r="W117" s="36"/>
      <c r="X117" s="36"/>
      <c r="Y117" s="36"/>
      <c r="Z117" s="36"/>
      <c r="AA117" s="36"/>
    </row>
    <row r="130" spans="35:36" x14ac:dyDescent="0.3">
      <c r="AI130" s="26"/>
      <c r="AJ130" s="26"/>
    </row>
    <row r="131" spans="35:36" x14ac:dyDescent="0.3">
      <c r="AI131" s="27"/>
      <c r="AJ131" s="28"/>
    </row>
    <row r="132" spans="35:36" ht="15" thickBot="1" x14ac:dyDescent="0.35">
      <c r="AI132" s="27"/>
      <c r="AJ132" s="28"/>
    </row>
    <row r="133" spans="35:36" ht="18.600000000000001" thickBot="1" x14ac:dyDescent="0.35">
      <c r="AI133" s="1151" t="s">
        <v>445</v>
      </c>
      <c r="AJ133" s="1152"/>
    </row>
    <row r="134" spans="35:36" x14ac:dyDescent="0.3">
      <c r="AI134" s="2279" t="str">
        <f>D38</f>
        <v>Risk of delay in land acquisition</v>
      </c>
      <c r="AJ134" s="2280"/>
    </row>
    <row r="135" spans="35:36" ht="15.75" customHeight="1" x14ac:dyDescent="0.3">
      <c r="AI135" s="2281" t="s">
        <v>895</v>
      </c>
      <c r="AJ135" s="2282"/>
    </row>
    <row r="136" spans="35:36" ht="15.75" customHeight="1" x14ac:dyDescent="0.3">
      <c r="AI136" s="2281"/>
      <c r="AJ136" s="2282"/>
    </row>
    <row r="137" spans="35:36" ht="15.75" customHeight="1" x14ac:dyDescent="0.3">
      <c r="AI137" s="2281"/>
      <c r="AJ137" s="2282"/>
    </row>
    <row r="138" spans="35:36" ht="15.75" customHeight="1" x14ac:dyDescent="0.3">
      <c r="AI138" s="2281"/>
      <c r="AJ138" s="2282"/>
    </row>
    <row r="139" spans="35:36" ht="15.75" customHeight="1" thickBot="1" x14ac:dyDescent="0.35">
      <c r="AI139" s="2281"/>
      <c r="AJ139" s="2282"/>
    </row>
    <row r="140" spans="35:36" ht="15.75" customHeight="1" x14ac:dyDescent="0.3">
      <c r="AI140" s="2279" t="str">
        <f>D47</f>
        <v>Financing Risk</v>
      </c>
      <c r="AJ140" s="2280"/>
    </row>
    <row r="141" spans="35:36" ht="15.75" customHeight="1" x14ac:dyDescent="0.3">
      <c r="AI141" s="2281" t="s">
        <v>896</v>
      </c>
      <c r="AJ141" s="2282"/>
    </row>
    <row r="142" spans="35:36" ht="15.75" customHeight="1" x14ac:dyDescent="0.3">
      <c r="AI142" s="2281"/>
      <c r="AJ142" s="2282"/>
    </row>
    <row r="143" spans="35:36" ht="15.75" customHeight="1" x14ac:dyDescent="0.3">
      <c r="AI143" s="2281"/>
      <c r="AJ143" s="2282"/>
    </row>
    <row r="144" spans="35:36" ht="9" customHeight="1" thickBot="1" x14ac:dyDescent="0.35">
      <c r="AI144" s="2281"/>
      <c r="AJ144" s="2282"/>
    </row>
    <row r="145" spans="35:36" ht="15.75" hidden="1" customHeight="1" x14ac:dyDescent="0.3">
      <c r="AI145" s="2281"/>
      <c r="AJ145" s="2282"/>
    </row>
    <row r="146" spans="35:36" ht="15.75" hidden="1" customHeight="1" x14ac:dyDescent="0.3">
      <c r="AI146" s="2281"/>
      <c r="AJ146" s="2282"/>
    </row>
    <row r="147" spans="35:36" ht="15.75" hidden="1" customHeight="1" x14ac:dyDescent="0.3">
      <c r="AI147" s="2281"/>
      <c r="AJ147" s="2282"/>
    </row>
    <row r="148" spans="35:36" ht="1.5" hidden="1" customHeight="1" x14ac:dyDescent="0.3">
      <c r="AI148" s="2283"/>
      <c r="AJ148" s="2284"/>
    </row>
    <row r="149" spans="35:36" ht="15.75" customHeight="1" x14ac:dyDescent="0.3">
      <c r="AI149" s="2279" t="str">
        <f>D53</f>
        <v xml:space="preserve">Design and Construction Risk </v>
      </c>
      <c r="AJ149" s="2280"/>
    </row>
    <row r="150" spans="35:36" ht="15.75" customHeight="1" x14ac:dyDescent="0.3">
      <c r="AI150" s="2285" t="s">
        <v>897</v>
      </c>
      <c r="AJ150" s="2282"/>
    </row>
    <row r="151" spans="35:36" ht="15.75" customHeight="1" x14ac:dyDescent="0.3">
      <c r="AI151" s="2281"/>
      <c r="AJ151" s="2282"/>
    </row>
    <row r="152" spans="35:36" ht="15.75" customHeight="1" x14ac:dyDescent="0.3">
      <c r="AI152" s="2281"/>
      <c r="AJ152" s="2282"/>
    </row>
    <row r="153" spans="35:36" ht="15.75" customHeight="1" x14ac:dyDescent="0.3">
      <c r="AI153" s="2281"/>
      <c r="AJ153" s="2282"/>
    </row>
    <row r="154" spans="35:36" ht="15.75" customHeight="1" x14ac:dyDescent="0.3">
      <c r="AI154" s="2281"/>
      <c r="AJ154" s="2282"/>
    </row>
    <row r="155" spans="35:36" ht="27" customHeight="1" thickBot="1" x14ac:dyDescent="0.35">
      <c r="AI155" s="2283"/>
      <c r="AJ155" s="2284"/>
    </row>
    <row r="156" spans="35:36" x14ac:dyDescent="0.3">
      <c r="AI156" s="2279" t="str">
        <f>D61</f>
        <v>Operations and Maintenance Risk</v>
      </c>
      <c r="AJ156" s="2280"/>
    </row>
    <row r="157" spans="35:36" ht="69.75" customHeight="1" thickBot="1" x14ac:dyDescent="0.35">
      <c r="AI157" s="2281" t="s">
        <v>898</v>
      </c>
      <c r="AJ157" s="2282"/>
    </row>
    <row r="158" spans="35:36" x14ac:dyDescent="0.3">
      <c r="AI158" s="2279" t="str">
        <f>D66</f>
        <v>Market Risk and Demand Risk</v>
      </c>
      <c r="AJ158" s="2280"/>
    </row>
    <row r="159" spans="35:36" ht="69.75" customHeight="1" thickBot="1" x14ac:dyDescent="0.35">
      <c r="AI159" s="2281" t="s">
        <v>899</v>
      </c>
      <c r="AJ159" s="2282"/>
    </row>
    <row r="160" spans="35:36" x14ac:dyDescent="0.3">
      <c r="AI160" s="2287" t="str">
        <f>D74</f>
        <v>Off Taker Risk</v>
      </c>
      <c r="AJ160" s="2288"/>
    </row>
    <row r="161" spans="35:36" ht="96.75" customHeight="1" thickBot="1" x14ac:dyDescent="0.35">
      <c r="AI161" s="2281" t="s">
        <v>900</v>
      </c>
      <c r="AJ161" s="2282"/>
    </row>
    <row r="162" spans="35:36" x14ac:dyDescent="0.3">
      <c r="AI162" s="2287" t="str">
        <f>D80</f>
        <v>Foreign Exchange Risk</v>
      </c>
      <c r="AJ162" s="2288"/>
    </row>
    <row r="163" spans="35:36" ht="68.25" customHeight="1" thickBot="1" x14ac:dyDescent="0.35">
      <c r="AI163" s="2281" t="s">
        <v>901</v>
      </c>
      <c r="AJ163" s="2282"/>
    </row>
    <row r="164" spans="35:36" ht="15" customHeight="1" x14ac:dyDescent="0.3">
      <c r="AI164" s="2287" t="str">
        <f>D85</f>
        <v>Environmental and Social Risk</v>
      </c>
      <c r="AJ164" s="2288"/>
    </row>
    <row r="165" spans="35:36" ht="121.5" customHeight="1" thickBot="1" x14ac:dyDescent="0.35">
      <c r="AI165" s="2283" t="s">
        <v>902</v>
      </c>
      <c r="AJ165" s="2284"/>
    </row>
  </sheetData>
  <sheetProtection password="DA20" sheet="1" objects="1" scenarios="1"/>
  <mergeCells count="139">
    <mergeCell ref="AI158:AJ158"/>
    <mergeCell ref="AI160:AJ160"/>
    <mergeCell ref="AI162:AJ162"/>
    <mergeCell ref="AI164:AJ164"/>
    <mergeCell ref="AI159:AJ159"/>
    <mergeCell ref="AI161:AJ161"/>
    <mergeCell ref="AI163:AJ163"/>
    <mergeCell ref="AI165:AJ165"/>
    <mergeCell ref="AI157:AJ157"/>
    <mergeCell ref="AI134:AJ134"/>
    <mergeCell ref="AI135:AJ139"/>
    <mergeCell ref="AI140:AJ140"/>
    <mergeCell ref="AI141:AJ148"/>
    <mergeCell ref="AI149:AJ149"/>
    <mergeCell ref="AI150:AJ155"/>
    <mergeCell ref="AI156:AJ156"/>
    <mergeCell ref="D66:AA66"/>
    <mergeCell ref="D74:AA74"/>
    <mergeCell ref="D80:AA80"/>
    <mergeCell ref="D85:AA85"/>
    <mergeCell ref="AC89:AG89"/>
    <mergeCell ref="AC90:AG90"/>
    <mergeCell ref="AC91:AG91"/>
    <mergeCell ref="AC92:AG92"/>
    <mergeCell ref="AC84:AG84"/>
    <mergeCell ref="AC85:AG85"/>
    <mergeCell ref="AC86:AG86"/>
    <mergeCell ref="AC87:AG87"/>
    <mergeCell ref="AC88:AG88"/>
    <mergeCell ref="AC79:AG79"/>
    <mergeCell ref="AC80:AG80"/>
    <mergeCell ref="AC81:AG81"/>
    <mergeCell ref="AC82:AG82"/>
    <mergeCell ref="AC64:AG64"/>
    <mergeCell ref="AC65:AG65"/>
    <mergeCell ref="AC66:AG66"/>
    <mergeCell ref="AC67:AG67"/>
    <mergeCell ref="AC68:AG68"/>
    <mergeCell ref="AC59:AG59"/>
    <mergeCell ref="AC60:AG60"/>
    <mergeCell ref="AC61:AG61"/>
    <mergeCell ref="AC62:AG62"/>
    <mergeCell ref="AC63:AG63"/>
    <mergeCell ref="AC55:AG55"/>
    <mergeCell ref="AC56:AG56"/>
    <mergeCell ref="AC57:AG57"/>
    <mergeCell ref="AC58:AG58"/>
    <mergeCell ref="AC41:AG41"/>
    <mergeCell ref="AC42:AG42"/>
    <mergeCell ref="AC43:AG43"/>
    <mergeCell ref="AC44:AG44"/>
    <mergeCell ref="AC45:AG45"/>
    <mergeCell ref="AC46:AG46"/>
    <mergeCell ref="AC47:AG47"/>
    <mergeCell ref="AC48:AG48"/>
    <mergeCell ref="AC49:AG49"/>
    <mergeCell ref="AC50:AG50"/>
    <mergeCell ref="AC51:AG51"/>
    <mergeCell ref="AC52:AG52"/>
    <mergeCell ref="AC53:AG53"/>
    <mergeCell ref="AC54:AG54"/>
    <mergeCell ref="AC37:AG37"/>
    <mergeCell ref="AC38:AG38"/>
    <mergeCell ref="AC39:AG39"/>
    <mergeCell ref="AC40:AG40"/>
    <mergeCell ref="D3:T3"/>
    <mergeCell ref="AF9:AF11"/>
    <mergeCell ref="W4:AB4"/>
    <mergeCell ref="W15:W22"/>
    <mergeCell ref="X15:AB22"/>
    <mergeCell ref="W5:W13"/>
    <mergeCell ref="X5:AB13"/>
    <mergeCell ref="D4:L4"/>
    <mergeCell ref="N4:T4"/>
    <mergeCell ref="AF3:AF5"/>
    <mergeCell ref="AF6:AF8"/>
    <mergeCell ref="W14:AB14"/>
    <mergeCell ref="W23:AB23"/>
    <mergeCell ref="S18:S20"/>
    <mergeCell ref="O18:Q20"/>
    <mergeCell ref="O25:S30"/>
    <mergeCell ref="AF12:AF14"/>
    <mergeCell ref="AE3:AE14"/>
    <mergeCell ref="D54:AA54"/>
    <mergeCell ref="D59:AA59"/>
    <mergeCell ref="D62:AA62"/>
    <mergeCell ref="D63:AA63"/>
    <mergeCell ref="D64:AA64"/>
    <mergeCell ref="D51:AA51"/>
    <mergeCell ref="D58:AA58"/>
    <mergeCell ref="D57:AA57"/>
    <mergeCell ref="D56:AA56"/>
    <mergeCell ref="D55:AA55"/>
    <mergeCell ref="D53:AA53"/>
    <mergeCell ref="D61:AA61"/>
    <mergeCell ref="D50:AA50"/>
    <mergeCell ref="D49:AA49"/>
    <mergeCell ref="D48:AA48"/>
    <mergeCell ref="D39:AA39"/>
    <mergeCell ref="D40:AA40"/>
    <mergeCell ref="D41:AA41"/>
    <mergeCell ref="D42:AA42"/>
    <mergeCell ref="Q36:Z36"/>
    <mergeCell ref="U37:Y37"/>
    <mergeCell ref="U46:Z46"/>
    <mergeCell ref="D43:AA43"/>
    <mergeCell ref="D44:AA44"/>
    <mergeCell ref="D45:AA45"/>
    <mergeCell ref="D38:AA38"/>
    <mergeCell ref="D47:AA47"/>
    <mergeCell ref="D89:AA89"/>
    <mergeCell ref="D90:AA90"/>
    <mergeCell ref="D71:AA71"/>
    <mergeCell ref="D72:AA72"/>
    <mergeCell ref="D75:AA75"/>
    <mergeCell ref="D78:AA78"/>
    <mergeCell ref="D77:AA77"/>
    <mergeCell ref="D76:AA76"/>
    <mergeCell ref="D86:AA86"/>
    <mergeCell ref="D87:AA87"/>
    <mergeCell ref="D70:AA70"/>
    <mergeCell ref="D67:AA67"/>
    <mergeCell ref="D69:AA69"/>
    <mergeCell ref="D81:AA81"/>
    <mergeCell ref="D82:AA82"/>
    <mergeCell ref="D83:AA83"/>
    <mergeCell ref="D88:AA88"/>
    <mergeCell ref="D68:AA68"/>
    <mergeCell ref="AC69:AG69"/>
    <mergeCell ref="AC70:AG70"/>
    <mergeCell ref="AC83:AG83"/>
    <mergeCell ref="AC74:AG74"/>
    <mergeCell ref="AC75:AG75"/>
    <mergeCell ref="AC76:AG76"/>
    <mergeCell ref="AC77:AG77"/>
    <mergeCell ref="AC78:AG78"/>
    <mergeCell ref="AC71:AG71"/>
    <mergeCell ref="AC72:AG72"/>
    <mergeCell ref="AC73:AG73"/>
  </mergeCells>
  <conditionalFormatting sqref="D39">
    <cfRule type="cellIs" dxfId="463" priority="239" operator="equal">
      <formula>0</formula>
    </cfRule>
  </conditionalFormatting>
  <conditionalFormatting sqref="B39">
    <cfRule type="expression" dxfId="462" priority="167">
      <formula>D39=0</formula>
    </cfRule>
  </conditionalFormatting>
  <conditionalFormatting sqref="D86:AA86">
    <cfRule type="cellIs" dxfId="461" priority="134" operator="equal">
      <formula>0</formula>
    </cfRule>
  </conditionalFormatting>
  <conditionalFormatting sqref="AB39">
    <cfRule type="expression" dxfId="460" priority="133">
      <formula>D39=0</formula>
    </cfRule>
  </conditionalFormatting>
  <conditionalFormatting sqref="AB86">
    <cfRule type="expression" dxfId="459" priority="126">
      <formula>D86=0</formula>
    </cfRule>
  </conditionalFormatting>
  <conditionalFormatting sqref="B86">
    <cfRule type="expression" dxfId="458" priority="119">
      <formula>$D$86=0</formula>
    </cfRule>
  </conditionalFormatting>
  <conditionalFormatting sqref="D39:AA39">
    <cfRule type="cellIs" dxfId="457" priority="118" operator="equal">
      <formula>0</formula>
    </cfRule>
  </conditionalFormatting>
  <conditionalFormatting sqref="D75:AA78">
    <cfRule type="cellIs" dxfId="456" priority="80" operator="equal">
      <formula>0</formula>
    </cfRule>
  </conditionalFormatting>
  <conditionalFormatting sqref="D75:D78">
    <cfRule type="cellIs" dxfId="455" priority="83" operator="equal">
      <formula>0</formula>
    </cfRule>
  </conditionalFormatting>
  <conditionalFormatting sqref="D67:AA72">
    <cfRule type="cellIs" dxfId="454" priority="84" operator="equal">
      <formula>0</formula>
    </cfRule>
  </conditionalFormatting>
  <conditionalFormatting sqref="D40">
    <cfRule type="cellIs" dxfId="453" priority="111" operator="equal">
      <formula>0</formula>
    </cfRule>
  </conditionalFormatting>
  <conditionalFormatting sqref="B40">
    <cfRule type="expression" dxfId="452" priority="110">
      <formula>D40=0</formula>
    </cfRule>
  </conditionalFormatting>
  <conditionalFormatting sqref="AB40">
    <cfRule type="expression" dxfId="451" priority="109">
      <formula>D40=0</formula>
    </cfRule>
  </conditionalFormatting>
  <conditionalFormatting sqref="D40:AA40">
    <cfRule type="cellIs" dxfId="450" priority="108" operator="equal">
      <formula>0</formula>
    </cfRule>
  </conditionalFormatting>
  <conditionalFormatting sqref="D41">
    <cfRule type="cellIs" dxfId="449" priority="107" operator="equal">
      <formula>0</formula>
    </cfRule>
  </conditionalFormatting>
  <conditionalFormatting sqref="B41">
    <cfRule type="expression" dxfId="448" priority="106">
      <formula>D41=0</formula>
    </cfRule>
  </conditionalFormatting>
  <conditionalFormatting sqref="AB41">
    <cfRule type="expression" dxfId="447" priority="105">
      <formula>D41=0</formula>
    </cfRule>
  </conditionalFormatting>
  <conditionalFormatting sqref="D41:AA41">
    <cfRule type="cellIs" dxfId="446" priority="104" operator="equal">
      <formula>0</formula>
    </cfRule>
  </conditionalFormatting>
  <conditionalFormatting sqref="D42:D45">
    <cfRule type="cellIs" dxfId="445" priority="103" operator="equal">
      <formula>0</formula>
    </cfRule>
  </conditionalFormatting>
  <conditionalFormatting sqref="B42:B45">
    <cfRule type="expression" dxfId="444" priority="102">
      <formula>D42=0</formula>
    </cfRule>
  </conditionalFormatting>
  <conditionalFormatting sqref="D42:AA45">
    <cfRule type="cellIs" dxfId="443" priority="100" operator="equal">
      <formula>0</formula>
    </cfRule>
  </conditionalFormatting>
  <conditionalFormatting sqref="D48:D51">
    <cfRule type="cellIs" dxfId="442" priority="99" operator="equal">
      <formula>0</formula>
    </cfRule>
  </conditionalFormatting>
  <conditionalFormatting sqref="B48:B51">
    <cfRule type="expression" dxfId="441" priority="98">
      <formula>D48=0</formula>
    </cfRule>
  </conditionalFormatting>
  <conditionalFormatting sqref="D48:AA51">
    <cfRule type="cellIs" dxfId="440" priority="96" operator="equal">
      <formula>0</formula>
    </cfRule>
  </conditionalFormatting>
  <conditionalFormatting sqref="D54:D59">
    <cfRule type="cellIs" dxfId="439" priority="95" operator="equal">
      <formula>0</formula>
    </cfRule>
  </conditionalFormatting>
  <conditionalFormatting sqref="B54:B59">
    <cfRule type="expression" dxfId="438" priority="94">
      <formula>D54=0</formula>
    </cfRule>
  </conditionalFormatting>
  <conditionalFormatting sqref="AB54:AB55">
    <cfRule type="expression" dxfId="437" priority="93">
      <formula>D54=0</formula>
    </cfRule>
  </conditionalFormatting>
  <conditionalFormatting sqref="D54:AA59">
    <cfRule type="cellIs" dxfId="436" priority="92" operator="equal">
      <formula>0</formula>
    </cfRule>
  </conditionalFormatting>
  <conditionalFormatting sqref="D62:D64">
    <cfRule type="cellIs" dxfId="435" priority="91" operator="equal">
      <formula>0</formula>
    </cfRule>
  </conditionalFormatting>
  <conditionalFormatting sqref="B62:B64">
    <cfRule type="expression" dxfId="434" priority="90">
      <formula>D62=0</formula>
    </cfRule>
  </conditionalFormatting>
  <conditionalFormatting sqref="D62:AA64">
    <cfRule type="cellIs" dxfId="433" priority="88" operator="equal">
      <formula>0</formula>
    </cfRule>
  </conditionalFormatting>
  <conditionalFormatting sqref="D67:D72">
    <cfRule type="cellIs" dxfId="432" priority="87" operator="equal">
      <formula>0</formula>
    </cfRule>
  </conditionalFormatting>
  <conditionalFormatting sqref="B67:B72">
    <cfRule type="expression" dxfId="431" priority="86">
      <formula>D67=0</formula>
    </cfRule>
  </conditionalFormatting>
  <conditionalFormatting sqref="D87:AA90">
    <cfRule type="cellIs" dxfId="430" priority="76" operator="equal">
      <formula>0</formula>
    </cfRule>
  </conditionalFormatting>
  <conditionalFormatting sqref="B75:B78">
    <cfRule type="expression" dxfId="429" priority="82">
      <formula>D75=0</formula>
    </cfRule>
  </conditionalFormatting>
  <conditionalFormatting sqref="AB75:AB78">
    <cfRule type="expression" dxfId="428" priority="81">
      <formula>D75=0</formula>
    </cfRule>
  </conditionalFormatting>
  <conditionalFormatting sqref="D87:D90">
    <cfRule type="cellIs" dxfId="427" priority="79" operator="equal">
      <formula>0</formula>
    </cfRule>
  </conditionalFormatting>
  <conditionalFormatting sqref="B87:B90">
    <cfRule type="expression" dxfId="426" priority="78">
      <formula>D87=0</formula>
    </cfRule>
  </conditionalFormatting>
  <conditionalFormatting sqref="AB87:AB90">
    <cfRule type="expression" dxfId="425" priority="77">
      <formula>D87=0</formula>
    </cfRule>
  </conditionalFormatting>
  <conditionalFormatting sqref="B82:B83">
    <cfRule type="expression" dxfId="424" priority="67">
      <formula>D82=0</formula>
    </cfRule>
  </conditionalFormatting>
  <conditionalFormatting sqref="D81:AA83">
    <cfRule type="cellIs" dxfId="423" priority="65" operator="equal">
      <formula>0</formula>
    </cfRule>
  </conditionalFormatting>
  <conditionalFormatting sqref="D81:D83">
    <cfRule type="cellIs" dxfId="422" priority="66" operator="equal">
      <formula>0</formula>
    </cfRule>
  </conditionalFormatting>
  <conditionalFormatting sqref="AB81:AB83">
    <cfRule type="expression" dxfId="421" priority="64">
      <formula>D81=0</formula>
    </cfRule>
  </conditionalFormatting>
  <conditionalFormatting sqref="B81">
    <cfRule type="expression" dxfId="420" priority="63">
      <formula>D81=0</formula>
    </cfRule>
  </conditionalFormatting>
  <conditionalFormatting sqref="AC39:AG39">
    <cfRule type="expression" dxfId="419" priority="62">
      <formula>D39=0</formula>
    </cfRule>
  </conditionalFormatting>
  <conditionalFormatting sqref="AC40:AG40">
    <cfRule type="expression" dxfId="418" priority="61">
      <formula>D40=0</formula>
    </cfRule>
  </conditionalFormatting>
  <conditionalFormatting sqref="AC41:AG41">
    <cfRule type="expression" dxfId="417" priority="60">
      <formula>D41=0</formula>
    </cfRule>
  </conditionalFormatting>
  <conditionalFormatting sqref="AC42:AG42">
    <cfRule type="expression" dxfId="416" priority="59">
      <formula>D42=0</formula>
    </cfRule>
  </conditionalFormatting>
  <conditionalFormatting sqref="AC43:AG43">
    <cfRule type="expression" dxfId="415" priority="58">
      <formula>D43=0</formula>
    </cfRule>
  </conditionalFormatting>
  <conditionalFormatting sqref="AC44:AG44">
    <cfRule type="expression" dxfId="414" priority="57">
      <formula>D44=0</formula>
    </cfRule>
  </conditionalFormatting>
  <conditionalFormatting sqref="AC45:AG45">
    <cfRule type="expression" dxfId="413" priority="56">
      <formula>D45=0</formula>
    </cfRule>
  </conditionalFormatting>
  <conditionalFormatting sqref="AC46:AG46">
    <cfRule type="expression" dxfId="412" priority="55">
      <formula>D46=0</formula>
    </cfRule>
  </conditionalFormatting>
  <conditionalFormatting sqref="AC47:AG47">
    <cfRule type="expression" dxfId="411" priority="54">
      <formula>D47=0</formula>
    </cfRule>
  </conditionalFormatting>
  <conditionalFormatting sqref="AC48:AG48">
    <cfRule type="expression" dxfId="410" priority="53">
      <formula>D48=0</formula>
    </cfRule>
  </conditionalFormatting>
  <conditionalFormatting sqref="AC49:AG49">
    <cfRule type="expression" dxfId="409" priority="52">
      <formula>D49=0</formula>
    </cfRule>
  </conditionalFormatting>
  <conditionalFormatting sqref="AC50:AG50">
    <cfRule type="expression" dxfId="408" priority="51">
      <formula>D50=0</formula>
    </cfRule>
  </conditionalFormatting>
  <conditionalFormatting sqref="AC51:AG51">
    <cfRule type="expression" dxfId="407" priority="50">
      <formula>D51=0</formula>
    </cfRule>
  </conditionalFormatting>
  <conditionalFormatting sqref="AC52:AG52">
    <cfRule type="expression" dxfId="406" priority="49">
      <formula>D52=0</formula>
    </cfRule>
  </conditionalFormatting>
  <conditionalFormatting sqref="AC53:AG53">
    <cfRule type="expression" dxfId="405" priority="48">
      <formula>D53=0</formula>
    </cfRule>
  </conditionalFormatting>
  <conditionalFormatting sqref="AC54:AG54">
    <cfRule type="cellIs" dxfId="404" priority="8" operator="equal">
      <formula>0</formula>
    </cfRule>
    <cfRule type="expression" dxfId="403" priority="47">
      <formula>D54=0</formula>
    </cfRule>
  </conditionalFormatting>
  <conditionalFormatting sqref="AC55:AG55">
    <cfRule type="expression" dxfId="402" priority="46">
      <formula>D55=0</formula>
    </cfRule>
  </conditionalFormatting>
  <conditionalFormatting sqref="AC56:AG56">
    <cfRule type="expression" dxfId="401" priority="45">
      <formula>D56=0</formula>
    </cfRule>
  </conditionalFormatting>
  <conditionalFormatting sqref="AC57:AG57">
    <cfRule type="expression" dxfId="400" priority="44">
      <formula>D57=0</formula>
    </cfRule>
  </conditionalFormatting>
  <conditionalFormatting sqref="AC58:AG58">
    <cfRule type="expression" dxfId="399" priority="43">
      <formula>D58=0</formula>
    </cfRule>
  </conditionalFormatting>
  <conditionalFormatting sqref="AC59:AG59">
    <cfRule type="expression" dxfId="398" priority="42">
      <formula>D59=0</formula>
    </cfRule>
  </conditionalFormatting>
  <conditionalFormatting sqref="AC60:AG60">
    <cfRule type="expression" dxfId="397" priority="41">
      <formula>D60=0</formula>
    </cfRule>
  </conditionalFormatting>
  <conditionalFormatting sqref="AC61:AG61">
    <cfRule type="expression" dxfId="396" priority="40">
      <formula>D61=0</formula>
    </cfRule>
  </conditionalFormatting>
  <conditionalFormatting sqref="AC62:AG62">
    <cfRule type="expression" dxfId="395" priority="39">
      <formula>D62=0</formula>
    </cfRule>
  </conditionalFormatting>
  <conditionalFormatting sqref="AC63:AG63">
    <cfRule type="expression" dxfId="394" priority="38">
      <formula>D63=0</formula>
    </cfRule>
  </conditionalFormatting>
  <conditionalFormatting sqref="AC64:AG64">
    <cfRule type="expression" dxfId="393" priority="37">
      <formula>D64=0</formula>
    </cfRule>
  </conditionalFormatting>
  <conditionalFormatting sqref="AC65:AG65">
    <cfRule type="expression" dxfId="392" priority="36">
      <formula>D65=0</formula>
    </cfRule>
  </conditionalFormatting>
  <conditionalFormatting sqref="AC66:AG66">
    <cfRule type="expression" dxfId="391" priority="35">
      <formula>D66=0</formula>
    </cfRule>
  </conditionalFormatting>
  <conditionalFormatting sqref="AC67:AG67">
    <cfRule type="expression" dxfId="390" priority="34">
      <formula>D67=0</formula>
    </cfRule>
  </conditionalFormatting>
  <conditionalFormatting sqref="AC68:AG68">
    <cfRule type="expression" dxfId="389" priority="33">
      <formula>D68=0</formula>
    </cfRule>
  </conditionalFormatting>
  <conditionalFormatting sqref="AC69:AG69">
    <cfRule type="expression" dxfId="388" priority="32">
      <formula>D69=0</formula>
    </cfRule>
  </conditionalFormatting>
  <conditionalFormatting sqref="AC70:AG70">
    <cfRule type="expression" dxfId="387" priority="31">
      <formula>D70=0</formula>
    </cfRule>
  </conditionalFormatting>
  <conditionalFormatting sqref="AC71:AG71">
    <cfRule type="expression" dxfId="386" priority="30">
      <formula>D71=0</formula>
    </cfRule>
  </conditionalFormatting>
  <conditionalFormatting sqref="AC72:AG72">
    <cfRule type="expression" dxfId="385" priority="29">
      <formula>D72=0</formula>
    </cfRule>
  </conditionalFormatting>
  <conditionalFormatting sqref="AC73:AG73">
    <cfRule type="expression" dxfId="384" priority="28">
      <formula>D73=0</formula>
    </cfRule>
  </conditionalFormatting>
  <conditionalFormatting sqref="AC74:AG74">
    <cfRule type="expression" dxfId="383" priority="27">
      <formula>D74=0</formula>
    </cfRule>
  </conditionalFormatting>
  <conditionalFormatting sqref="AC75:AG75">
    <cfRule type="expression" dxfId="382" priority="26">
      <formula>D75=0</formula>
    </cfRule>
  </conditionalFormatting>
  <conditionalFormatting sqref="AC76:AG76">
    <cfRule type="expression" dxfId="381" priority="25">
      <formula>D76=0</formula>
    </cfRule>
  </conditionalFormatting>
  <conditionalFormatting sqref="AC77:AG77">
    <cfRule type="expression" dxfId="380" priority="24">
      <formula>D77=0</formula>
    </cfRule>
  </conditionalFormatting>
  <conditionalFormatting sqref="AC78:AG78">
    <cfRule type="expression" dxfId="379" priority="23">
      <formula>D78=0</formula>
    </cfRule>
  </conditionalFormatting>
  <conditionalFormatting sqref="AC79:AG79">
    <cfRule type="expression" dxfId="378" priority="22">
      <formula>D79=0</formula>
    </cfRule>
  </conditionalFormatting>
  <conditionalFormatting sqref="AC80:AG80">
    <cfRule type="expression" dxfId="377" priority="21">
      <formula>D80=0</formula>
    </cfRule>
  </conditionalFormatting>
  <conditionalFormatting sqref="AC81:AG81">
    <cfRule type="expression" dxfId="376" priority="20">
      <formula>D81=0</formula>
    </cfRule>
  </conditionalFormatting>
  <conditionalFormatting sqref="AC82:AG82">
    <cfRule type="expression" dxfId="375" priority="19">
      <formula>D82=0</formula>
    </cfRule>
  </conditionalFormatting>
  <conditionalFormatting sqref="AC83:AG83">
    <cfRule type="expression" dxfId="374" priority="18">
      <formula>D83=0</formula>
    </cfRule>
  </conditionalFormatting>
  <conditionalFormatting sqref="AC84:AG84">
    <cfRule type="expression" dxfId="373" priority="17">
      <formula>D84=0</formula>
    </cfRule>
  </conditionalFormatting>
  <conditionalFormatting sqref="AC85:AG85">
    <cfRule type="expression" dxfId="372" priority="16">
      <formula>D85=0</formula>
    </cfRule>
  </conditionalFormatting>
  <conditionalFormatting sqref="AC86:AG86">
    <cfRule type="expression" dxfId="371" priority="15">
      <formula>D86=0</formula>
    </cfRule>
  </conditionalFormatting>
  <conditionalFormatting sqref="AC87:AG87">
    <cfRule type="expression" dxfId="370" priority="14">
      <formula>D87=0</formula>
    </cfRule>
  </conditionalFormatting>
  <conditionalFormatting sqref="AC88:AG88">
    <cfRule type="expression" dxfId="369" priority="13">
      <formula>D88=0</formula>
    </cfRule>
  </conditionalFormatting>
  <conditionalFormatting sqref="AC89:AG89">
    <cfRule type="expression" dxfId="368" priority="12">
      <formula>D89=0</formula>
    </cfRule>
  </conditionalFormatting>
  <conditionalFormatting sqref="AC90:AG90">
    <cfRule type="expression" dxfId="367" priority="11">
      <formula>D90=0</formula>
    </cfRule>
  </conditionalFormatting>
  <conditionalFormatting sqref="AC91:AG91">
    <cfRule type="expression" dxfId="366" priority="10">
      <formula>D91=0</formula>
    </cfRule>
  </conditionalFormatting>
  <conditionalFormatting sqref="AC92:AG92">
    <cfRule type="expression" dxfId="365" priority="9">
      <formula>D92=0</formula>
    </cfRule>
  </conditionalFormatting>
  <conditionalFormatting sqref="AB49">
    <cfRule type="expression" dxfId="364" priority="7">
      <formula>D49=0</formula>
    </cfRule>
  </conditionalFormatting>
  <conditionalFormatting sqref="AB42:AB45">
    <cfRule type="expression" dxfId="363" priority="6">
      <formula>D42=0</formula>
    </cfRule>
  </conditionalFormatting>
  <conditionalFormatting sqref="AB48">
    <cfRule type="expression" dxfId="362" priority="5">
      <formula>D48=0</formula>
    </cfRule>
  </conditionalFormatting>
  <conditionalFormatting sqref="AB50:AB51">
    <cfRule type="expression" dxfId="361" priority="4">
      <formula>D50=0</formula>
    </cfRule>
  </conditionalFormatting>
  <conditionalFormatting sqref="AB56:AB59">
    <cfRule type="expression" dxfId="360" priority="3">
      <formula>D56=0</formula>
    </cfRule>
  </conditionalFormatting>
  <conditionalFormatting sqref="AB62:AB64">
    <cfRule type="expression" dxfId="359" priority="2">
      <formula>D62=0</formula>
    </cfRule>
  </conditionalFormatting>
  <conditionalFormatting sqref="AB67:AB72">
    <cfRule type="expression" dxfId="358" priority="1">
      <formula>D67=0</formula>
    </cfRule>
  </conditionalFormatting>
  <dataValidations disablePrompts="1" count="3">
    <dataValidation type="list" allowBlank="1" showInputMessage="1" showErrorMessage="1" promptTitle="Select Response" sqref="AB60 AB52 AB65" xr:uid="{00000000-0002-0000-0500-000000000000}">
      <formula1>"Yes,No,N/A,Uncertain"</formula1>
    </dataValidation>
    <dataValidation type="list" allowBlank="1" showInputMessage="1" showErrorMessage="1" promptTitle="Select Response" sqref="AB39:AB45 AB48:AB51 AB86:AB90 AB62:AB64 AB67:AB72 AB75:AB78 AB81:AB83 AB56:AB59" xr:uid="{00000000-0002-0000-0500-000001000000}">
      <formula1>"Yes,No,Uncertain,N/A,Skip"</formula1>
    </dataValidation>
    <dataValidation allowBlank="1" showInputMessage="1" showErrorMessage="1" promptTitle="Select Response" sqref="AB46 AB79 AB54:AB55" xr:uid="{00000000-0002-0000-0500-000002000000}"/>
  </dataValidations>
  <hyperlinks>
    <hyperlink ref="D38" location="Risk1" display="Risk of delay in land acquisition" xr:uid="{00000000-0004-0000-0500-000000000000}"/>
    <hyperlink ref="D47:AA47" location="Risk2" display="Financing Risk" xr:uid="{00000000-0004-0000-0500-000001000000}"/>
    <hyperlink ref="D53:AA53" location="Risk3" display="Design and Construction Risk " xr:uid="{00000000-0004-0000-0500-000002000000}"/>
    <hyperlink ref="D61:AA61" location="Risk4" display="Operations and Maintenance Risk" xr:uid="{00000000-0004-0000-0500-000003000000}"/>
    <hyperlink ref="D66:AA66" location="Risk5" display="Market Risk and Demand Risk" xr:uid="{00000000-0004-0000-0500-000004000000}"/>
    <hyperlink ref="D74:AA74" location="Risk6" display="Off Taker Risk" xr:uid="{00000000-0004-0000-0500-000005000000}"/>
    <hyperlink ref="D80:AA80" location="Risk7" display="Foreign Exchange Risk" xr:uid="{00000000-0004-0000-0500-000006000000}"/>
    <hyperlink ref="D85:AA85" location="Risk8" display="Environmental and Social Risk" xr:uid="{00000000-0004-0000-0500-000007000000}"/>
    <hyperlink ref="D38:AA38" location="'III.Risk Assessment'!AI135" display="Risk of delay in land acquisition" xr:uid="{B29098CC-B480-4808-9782-F983DD5E45FC}"/>
  </hyperlinks>
  <pageMargins left="0.7" right="0.7" top="0.75" bottom="0.75" header="0.3" footer="0.3"/>
  <pageSetup paperSize="9" scale="12" orientation="portrait" r:id="rId1"/>
  <ignoredErrors>
    <ignoredError sqref="M16" formula="1"/>
    <ignoredError sqref="AB54:AB5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1"/>
    <pageSetUpPr fitToPage="1"/>
  </sheetPr>
  <dimension ref="A1:BO164"/>
  <sheetViews>
    <sheetView topLeftCell="D1" zoomScale="80" zoomScaleNormal="80" workbookViewId="0">
      <selection activeCell="B1" sqref="B1"/>
    </sheetView>
  </sheetViews>
  <sheetFormatPr defaultColWidth="9.21875" defaultRowHeight="14.4" x14ac:dyDescent="0.3"/>
  <cols>
    <col min="1" max="1" width="3.44140625" style="47" hidden="1" customWidth="1"/>
    <col min="2" max="2" width="5" style="47" bestFit="1" customWidth="1"/>
    <col min="3" max="3" width="5.77734375" style="47" hidden="1" customWidth="1"/>
    <col min="4" max="13" width="4" style="47" customWidth="1"/>
    <col min="14" max="20" width="9.21875" style="47" customWidth="1"/>
    <col min="21" max="21" width="9.21875" style="47" hidden="1" customWidth="1"/>
    <col min="22" max="22" width="5.21875" style="47" customWidth="1"/>
    <col min="23" max="28" width="9.21875" style="47" customWidth="1"/>
    <col min="29" max="29" width="10.5546875" style="47" bestFit="1" customWidth="1"/>
    <col min="30" max="30" width="1.44140625" style="47" customWidth="1"/>
    <col min="31" max="31" width="9.21875" style="47" customWidth="1"/>
    <col min="32" max="32" width="9.21875" style="47"/>
    <col min="33" max="33" width="53.5546875" style="47" customWidth="1"/>
    <col min="34" max="34" width="8.44140625" style="47" customWidth="1"/>
    <col min="35" max="35" width="1.44140625" style="47" customWidth="1"/>
    <col min="36" max="37" width="9.21875" style="47"/>
    <col min="38" max="38" width="60.5546875" style="47" customWidth="1"/>
    <col min="39" max="39" width="159.21875" style="47" customWidth="1"/>
    <col min="40" max="16384" width="9.21875" style="47"/>
  </cols>
  <sheetData>
    <row r="1" spans="1:67" ht="30" customHeight="1" thickTop="1" thickBot="1" x14ac:dyDescent="0.6">
      <c r="A1" s="10"/>
      <c r="B1" s="10"/>
      <c r="C1" s="10"/>
      <c r="D1" s="11"/>
      <c r="E1" s="58" t="s">
        <v>554</v>
      </c>
      <c r="F1" s="11"/>
      <c r="G1" s="11"/>
      <c r="H1" s="11"/>
      <c r="I1" s="11"/>
      <c r="J1" s="11"/>
      <c r="K1" s="11"/>
      <c r="L1" s="11"/>
      <c r="M1" s="11"/>
      <c r="N1" s="11"/>
      <c r="O1" s="11"/>
      <c r="P1" s="11"/>
      <c r="Q1" s="11"/>
      <c r="R1" s="11"/>
      <c r="S1" s="11"/>
      <c r="T1" s="11"/>
      <c r="U1" s="11"/>
      <c r="V1" s="11"/>
      <c r="W1" s="11"/>
      <c r="X1" s="11"/>
      <c r="Y1" s="11"/>
      <c r="Z1" s="11"/>
      <c r="AA1" s="11"/>
      <c r="AB1" s="2289"/>
      <c r="AC1" s="2289"/>
      <c r="AD1" s="1037"/>
      <c r="AE1" s="1037"/>
      <c r="AF1" s="1"/>
      <c r="AG1" s="1"/>
      <c r="AH1" s="1"/>
      <c r="AI1" s="1"/>
      <c r="BN1" s="47" t="s">
        <v>222</v>
      </c>
      <c r="BO1" s="733">
        <f>'Data Analysis'!AB418</f>
        <v>180</v>
      </c>
    </row>
    <row r="2" spans="1:67" ht="14.25" customHeight="1" thickTop="1" thickBot="1" x14ac:dyDescent="0.35">
      <c r="A2" s="36"/>
      <c r="B2" s="36"/>
      <c r="C2" s="36"/>
      <c r="D2" s="36"/>
      <c r="E2" s="59"/>
      <c r="F2" s="36"/>
      <c r="G2" s="36"/>
      <c r="H2" s="36"/>
      <c r="I2" s="36"/>
      <c r="J2" s="36"/>
      <c r="K2" s="36"/>
      <c r="L2" s="36"/>
      <c r="M2" s="36"/>
      <c r="N2" s="36"/>
      <c r="O2" s="36"/>
      <c r="P2" s="36"/>
      <c r="Q2" s="36"/>
      <c r="R2" s="36"/>
      <c r="S2" s="36"/>
      <c r="T2" s="36"/>
      <c r="U2" s="36"/>
      <c r="V2" s="36"/>
      <c r="W2" s="36"/>
      <c r="X2" s="36"/>
      <c r="Y2" s="36"/>
      <c r="Z2" s="36"/>
      <c r="AA2" s="36"/>
      <c r="AB2" s="36"/>
      <c r="AC2" s="36"/>
      <c r="AD2" s="36"/>
      <c r="AE2" s="36"/>
      <c r="AI2" s="1"/>
      <c r="BN2" s="47" t="s">
        <v>10</v>
      </c>
      <c r="BO2" s="733">
        <f>'Data Analysis'!AB419</f>
        <v>1</v>
      </c>
    </row>
    <row r="3" spans="1:67" ht="17.25" customHeight="1" thickBot="1" x14ac:dyDescent="0.45">
      <c r="A3" s="36"/>
      <c r="B3" s="36"/>
      <c r="C3" s="38"/>
      <c r="D3" s="2270" t="s">
        <v>556</v>
      </c>
      <c r="E3" s="2271"/>
      <c r="F3" s="2271"/>
      <c r="G3" s="2271"/>
      <c r="H3" s="2271"/>
      <c r="I3" s="2271"/>
      <c r="J3" s="2271"/>
      <c r="K3" s="2271"/>
      <c r="L3" s="2271"/>
      <c r="M3" s="2271"/>
      <c r="N3" s="2271"/>
      <c r="O3" s="2271"/>
      <c r="P3" s="2271"/>
      <c r="Q3" s="2271"/>
      <c r="R3" s="2271"/>
      <c r="S3" s="2271"/>
      <c r="T3" s="2272"/>
      <c r="U3" s="38"/>
      <c r="W3" s="400"/>
      <c r="X3" s="401"/>
      <c r="Y3" s="401"/>
      <c r="Z3" s="401"/>
      <c r="AA3" s="401"/>
      <c r="AB3" s="401"/>
      <c r="AC3" s="402"/>
      <c r="AD3" s="210"/>
      <c r="AE3" s="210"/>
      <c r="AF3" s="2196" t="s">
        <v>67</v>
      </c>
      <c r="AG3" s="2186" t="s">
        <v>810</v>
      </c>
      <c r="AI3" s="1"/>
      <c r="BN3" s="47" t="s">
        <v>11</v>
      </c>
      <c r="BO3" s="733">
        <f>'Data Analysis'!AB420</f>
        <v>179</v>
      </c>
    </row>
    <row r="4" spans="1:67" ht="15" customHeight="1" x14ac:dyDescent="0.35">
      <c r="A4" s="36"/>
      <c r="B4" s="36"/>
      <c r="C4" s="38"/>
      <c r="D4" s="1305"/>
      <c r="E4" s="2291" t="s">
        <v>47</v>
      </c>
      <c r="F4" s="2292"/>
      <c r="G4" s="2292"/>
      <c r="H4" s="2292"/>
      <c r="I4" s="2292"/>
      <c r="J4" s="2292"/>
      <c r="K4" s="2292"/>
      <c r="L4" s="2292"/>
      <c r="M4" s="2292"/>
      <c r="N4" s="2292"/>
      <c r="O4" s="2292"/>
      <c r="P4" s="1306"/>
      <c r="Q4" s="2293" t="s">
        <v>0</v>
      </c>
      <c r="R4" s="2293"/>
      <c r="S4" s="2293"/>
      <c r="T4" s="2294"/>
      <c r="U4" s="38"/>
      <c r="W4" s="2193" t="s">
        <v>194</v>
      </c>
      <c r="X4" s="2194"/>
      <c r="Y4" s="2194"/>
      <c r="Z4" s="2194"/>
      <c r="AA4" s="2194"/>
      <c r="AB4" s="2194"/>
      <c r="AC4" s="2195"/>
      <c r="AD4" s="211"/>
      <c r="AE4" s="211"/>
      <c r="AF4" s="2196"/>
      <c r="AG4" s="2186"/>
      <c r="AI4" s="1"/>
    </row>
    <row r="5" spans="1:67" ht="15" customHeight="1" x14ac:dyDescent="0.3">
      <c r="A5" s="36"/>
      <c r="B5" s="36"/>
      <c r="C5" s="91"/>
      <c r="D5" s="111">
        <v>0.5</v>
      </c>
      <c r="E5" s="420">
        <f>D5+0.5</f>
        <v>1</v>
      </c>
      <c r="F5" s="67">
        <f>E5+0.5</f>
        <v>1.5</v>
      </c>
      <c r="G5" s="67">
        <f t="shared" ref="G5:O5" si="0">F5+0.5</f>
        <v>2</v>
      </c>
      <c r="H5" s="67">
        <f t="shared" si="0"/>
        <v>2.5</v>
      </c>
      <c r="I5" s="67">
        <f t="shared" si="0"/>
        <v>3</v>
      </c>
      <c r="J5" s="67">
        <f t="shared" si="0"/>
        <v>3.5</v>
      </c>
      <c r="K5" s="67">
        <f t="shared" si="0"/>
        <v>4</v>
      </c>
      <c r="L5" s="67">
        <f t="shared" si="0"/>
        <v>4.5</v>
      </c>
      <c r="M5" s="67">
        <f t="shared" si="0"/>
        <v>5</v>
      </c>
      <c r="N5" s="67">
        <f t="shared" si="0"/>
        <v>5.5</v>
      </c>
      <c r="O5" s="67">
        <f t="shared" si="0"/>
        <v>6</v>
      </c>
      <c r="P5" s="67"/>
      <c r="Q5" s="52"/>
      <c r="R5" s="52"/>
      <c r="S5" s="52"/>
      <c r="T5" s="80"/>
      <c r="U5" s="55"/>
      <c r="W5" s="2199" t="s">
        <v>41</v>
      </c>
      <c r="X5" s="2197" t="str">
        <f ca="1">Dashboard!P73</f>
        <v>The project is extremely amenable as a PPP. There is a strong indication of value for money and potentially favorable market  interest.</v>
      </c>
      <c r="Y5" s="2197"/>
      <c r="Z5" s="2197"/>
      <c r="AA5" s="2197"/>
      <c r="AB5" s="2197"/>
      <c r="AC5" s="2198"/>
      <c r="AD5" s="211"/>
      <c r="AE5" s="211"/>
      <c r="AF5" s="2196"/>
      <c r="AG5" s="2186"/>
      <c r="AI5" s="1"/>
    </row>
    <row r="6" spans="1:67" ht="15" customHeight="1" x14ac:dyDescent="0.3">
      <c r="A6" s="36"/>
      <c r="B6" s="36"/>
      <c r="C6" s="91"/>
      <c r="D6" s="14"/>
      <c r="E6" s="209"/>
      <c r="F6" s="52"/>
      <c r="G6" s="52"/>
      <c r="H6" s="52"/>
      <c r="I6" s="52"/>
      <c r="J6" s="52"/>
      <c r="K6" s="52"/>
      <c r="L6" s="52"/>
      <c r="M6" s="52"/>
      <c r="N6" s="52"/>
      <c r="O6" s="52"/>
      <c r="P6" s="52"/>
      <c r="Q6" s="52"/>
      <c r="R6" s="52"/>
      <c r="S6" s="52"/>
      <c r="T6" s="80"/>
      <c r="U6" s="55"/>
      <c r="W6" s="2199"/>
      <c r="X6" s="2197"/>
      <c r="Y6" s="2197"/>
      <c r="Z6" s="2197"/>
      <c r="AA6" s="2197"/>
      <c r="AB6" s="2197"/>
      <c r="AC6" s="2198"/>
      <c r="AD6" s="211"/>
      <c r="AE6" s="211"/>
      <c r="AF6" s="2196"/>
      <c r="AG6" s="2186" t="s">
        <v>430</v>
      </c>
      <c r="AI6" s="1"/>
    </row>
    <row r="7" spans="1:67" s="100" customFormat="1" ht="15" customHeight="1" x14ac:dyDescent="0.3">
      <c r="A7" s="97"/>
      <c r="B7" s="97"/>
      <c r="C7" s="102">
        <f>Admin!J17</f>
        <v>4.9999999999999991</v>
      </c>
      <c r="D7" s="256"/>
      <c r="E7" s="209"/>
      <c r="F7" s="52"/>
      <c r="G7" s="52"/>
      <c r="H7" s="52"/>
      <c r="I7" s="52"/>
      <c r="J7" s="52"/>
      <c r="K7" s="52"/>
      <c r="L7" s="52"/>
      <c r="M7" s="52"/>
      <c r="N7" s="52"/>
      <c r="O7" s="94" t="str">
        <f t="shared" ref="O7" si="1">IF(AND($B$18&gt;AR1,$B$18&lt;=AS1),"↓","")</f>
        <v/>
      </c>
      <c r="P7" s="94"/>
      <c r="Q7" s="94"/>
      <c r="R7" s="94"/>
      <c r="S7" s="94"/>
      <c r="T7" s="99"/>
      <c r="U7" s="104"/>
      <c r="W7" s="2199"/>
      <c r="X7" s="2197"/>
      <c r="Y7" s="2197"/>
      <c r="Z7" s="2197"/>
      <c r="AA7" s="2197"/>
      <c r="AB7" s="2197"/>
      <c r="AC7" s="2198"/>
      <c r="AD7" s="211"/>
      <c r="AE7" s="211"/>
      <c r="AF7" s="2196"/>
      <c r="AG7" s="2186"/>
      <c r="AI7" s="633"/>
    </row>
    <row r="8" spans="1:67" ht="15" customHeight="1" x14ac:dyDescent="0.3">
      <c r="A8" s="36"/>
      <c r="B8" s="36"/>
      <c r="C8" s="91"/>
      <c r="D8" s="2295" t="s">
        <v>90</v>
      </c>
      <c r="E8" s="2296"/>
      <c r="F8" s="2296"/>
      <c r="G8" s="2296"/>
      <c r="H8" s="2296"/>
      <c r="I8" s="2296"/>
      <c r="J8" s="2296"/>
      <c r="K8" s="2296"/>
      <c r="L8" s="2296"/>
      <c r="M8" s="2296"/>
      <c r="N8" s="52"/>
      <c r="O8" s="52"/>
      <c r="P8" s="52"/>
      <c r="Q8" s="52"/>
      <c r="R8" s="52"/>
      <c r="S8" s="52"/>
      <c r="T8" s="80"/>
      <c r="U8" s="55"/>
      <c r="W8" s="2199"/>
      <c r="X8" s="2197"/>
      <c r="Y8" s="2197"/>
      <c r="Z8" s="2197"/>
      <c r="AA8" s="2197"/>
      <c r="AB8" s="2197"/>
      <c r="AC8" s="2198"/>
      <c r="AD8" s="205"/>
      <c r="AE8" s="205"/>
      <c r="AF8" s="2196"/>
      <c r="AG8" s="2186"/>
      <c r="AI8" s="1"/>
    </row>
    <row r="9" spans="1:67" ht="15" customHeight="1" x14ac:dyDescent="0.3">
      <c r="A9" s="36"/>
      <c r="B9" s="36"/>
      <c r="C9" s="91"/>
      <c r="D9" s="1150" t="str">
        <f>IF($C$10&lt;=D$5,"↓","")</f>
        <v/>
      </c>
      <c r="E9" s="209" t="str">
        <f>IF(AND($C$10&lt;=E5,$C$10&gt;D5),"↓","")</f>
        <v/>
      </c>
      <c r="F9" s="209" t="str">
        <f t="shared" ref="F9:M9" si="2">IF(AND($C$10&lt;=F5,$C$10&gt;E5),"↓","")</f>
        <v/>
      </c>
      <c r="G9" s="209" t="str">
        <f t="shared" si="2"/>
        <v/>
      </c>
      <c r="H9" s="209" t="str">
        <f t="shared" si="2"/>
        <v/>
      </c>
      <c r="I9" s="209" t="str">
        <f t="shared" si="2"/>
        <v/>
      </c>
      <c r="J9" s="209" t="str">
        <f t="shared" si="2"/>
        <v/>
      </c>
      <c r="K9" s="209" t="str">
        <f t="shared" si="2"/>
        <v/>
      </c>
      <c r="L9" s="209" t="str">
        <f t="shared" si="2"/>
        <v/>
      </c>
      <c r="M9" s="209" t="str">
        <f t="shared" si="2"/>
        <v>↓</v>
      </c>
      <c r="N9" s="66" t="str">
        <f>IF(AND($C$10&gt;=N5,$C$10&lt;=O5),"↓","")</f>
        <v/>
      </c>
      <c r="O9" s="52"/>
      <c r="P9" s="52"/>
      <c r="Q9" s="52"/>
      <c r="R9" s="52"/>
      <c r="S9" s="52"/>
      <c r="T9" s="80"/>
      <c r="U9" s="55"/>
      <c r="W9" s="2199"/>
      <c r="X9" s="2197"/>
      <c r="Y9" s="2197"/>
      <c r="Z9" s="2197"/>
      <c r="AA9" s="2197"/>
      <c r="AB9" s="2197"/>
      <c r="AC9" s="2198"/>
      <c r="AD9" s="211"/>
      <c r="AE9" s="211"/>
      <c r="AF9" s="2196"/>
      <c r="AG9" s="2186" t="s">
        <v>903</v>
      </c>
      <c r="AI9" s="1"/>
    </row>
    <row r="10" spans="1:67" s="100" customFormat="1" ht="15" customHeight="1" x14ac:dyDescent="0.3">
      <c r="A10" s="97"/>
      <c r="B10" s="97"/>
      <c r="C10" s="102">
        <f>Admin!J26</f>
        <v>4.9999999999999991</v>
      </c>
      <c r="D10" s="256"/>
      <c r="E10" s="209"/>
      <c r="F10" s="52"/>
      <c r="G10" s="52"/>
      <c r="H10" s="52"/>
      <c r="I10" s="52"/>
      <c r="J10" s="52"/>
      <c r="K10" s="52"/>
      <c r="L10" s="52"/>
      <c r="M10" s="52"/>
      <c r="N10" s="52"/>
      <c r="O10" s="94" t="str">
        <f t="shared" ref="O10" si="3">IF(AND($B$21&gt;AR1,$B$21&lt;=AS1),"↓","")</f>
        <v/>
      </c>
      <c r="P10" s="94"/>
      <c r="Q10" s="94"/>
      <c r="R10" s="94"/>
      <c r="S10" s="94"/>
      <c r="T10" s="99"/>
      <c r="U10" s="104"/>
      <c r="W10" s="2199"/>
      <c r="X10" s="2197"/>
      <c r="Y10" s="2197"/>
      <c r="Z10" s="2197"/>
      <c r="AA10" s="2197"/>
      <c r="AB10" s="2197"/>
      <c r="AC10" s="2198"/>
      <c r="AD10" s="211"/>
      <c r="AE10" s="211"/>
      <c r="AF10" s="2196"/>
      <c r="AG10" s="2186"/>
      <c r="AI10" s="633"/>
    </row>
    <row r="11" spans="1:67" ht="15" customHeight="1" x14ac:dyDescent="0.3">
      <c r="A11" s="36"/>
      <c r="B11" s="36"/>
      <c r="C11" s="91"/>
      <c r="D11" s="2295" t="s">
        <v>45</v>
      </c>
      <c r="E11" s="2296"/>
      <c r="F11" s="2296"/>
      <c r="G11" s="2296"/>
      <c r="H11" s="2296"/>
      <c r="I11" s="2296"/>
      <c r="J11" s="2296"/>
      <c r="K11" s="2296"/>
      <c r="L11" s="2296"/>
      <c r="M11" s="2296"/>
      <c r="N11" s="52"/>
      <c r="O11" s="52"/>
      <c r="P11" s="52"/>
      <c r="Q11" s="52"/>
      <c r="R11" s="52"/>
      <c r="S11" s="52"/>
      <c r="T11" s="80"/>
      <c r="U11" s="55"/>
      <c r="W11" s="2190" t="str">
        <f>Dashboard!W50</f>
        <v>Identified areas to address</v>
      </c>
      <c r="X11" s="2191"/>
      <c r="Y11" s="2191"/>
      <c r="Z11" s="2191"/>
      <c r="AA11" s="2191"/>
      <c r="AB11" s="2191"/>
      <c r="AC11" s="2192"/>
      <c r="AD11" s="211"/>
      <c r="AE11" s="211"/>
      <c r="AF11" s="2196"/>
      <c r="AG11" s="2186"/>
      <c r="AI11" s="1"/>
    </row>
    <row r="12" spans="1:67" ht="15" customHeight="1" x14ac:dyDescent="0.3">
      <c r="A12" s="36"/>
      <c r="B12" s="36"/>
      <c r="C12" s="91"/>
      <c r="D12" s="112" t="str">
        <f>IF($C$13&lt;=D$5,"↓","")</f>
        <v/>
      </c>
      <c r="E12" s="209" t="str">
        <f>IF(AND($C$13&lt;=E5,$C$13&gt;D5),"↓","")</f>
        <v/>
      </c>
      <c r="F12" s="209" t="str">
        <f t="shared" ref="F12:M12" si="4">IF(AND($C$13&lt;=F5,$C$13&gt;E5),"↓","")</f>
        <v/>
      </c>
      <c r="G12" s="209" t="str">
        <f t="shared" si="4"/>
        <v/>
      </c>
      <c r="H12" s="209" t="str">
        <f t="shared" si="4"/>
        <v/>
      </c>
      <c r="I12" s="209" t="str">
        <f t="shared" si="4"/>
        <v/>
      </c>
      <c r="J12" s="209" t="str">
        <f t="shared" si="4"/>
        <v/>
      </c>
      <c r="K12" s="209" t="str">
        <f t="shared" si="4"/>
        <v/>
      </c>
      <c r="L12" s="209" t="str">
        <f t="shared" si="4"/>
        <v/>
      </c>
      <c r="M12" s="209" t="str">
        <f t="shared" si="4"/>
        <v>↓</v>
      </c>
      <c r="N12" s="66" t="str">
        <f>IF(AND($C$13&gt;=N5,$C$13&lt;=O5),"↓","")</f>
        <v/>
      </c>
      <c r="O12" s="52"/>
      <c r="P12" s="52"/>
      <c r="Q12" s="52"/>
      <c r="R12" s="52"/>
      <c r="S12" s="52"/>
      <c r="T12" s="80"/>
      <c r="U12" s="55"/>
      <c r="W12" s="2199" t="s">
        <v>41</v>
      </c>
      <c r="X12" s="2197" t="str">
        <f>Dashboard!W73</f>
        <v xml:space="preserve">   .</v>
      </c>
      <c r="Y12" s="2197"/>
      <c r="Z12" s="2197"/>
      <c r="AA12" s="2197"/>
      <c r="AB12" s="2197"/>
      <c r="AC12" s="2198"/>
      <c r="AD12" s="211"/>
      <c r="AE12" s="211"/>
      <c r="AF12" s="2196"/>
      <c r="AG12" s="2186" t="s">
        <v>884</v>
      </c>
      <c r="AI12" s="1"/>
    </row>
    <row r="13" spans="1:67" s="100" customFormat="1" ht="15" customHeight="1" x14ac:dyDescent="0.3">
      <c r="A13" s="97"/>
      <c r="B13" s="97"/>
      <c r="C13" s="102">
        <f>Admin!J27</f>
        <v>5</v>
      </c>
      <c r="D13" s="256"/>
      <c r="E13" s="209"/>
      <c r="F13" s="52"/>
      <c r="G13" s="52"/>
      <c r="H13" s="52"/>
      <c r="I13" s="52"/>
      <c r="J13" s="52"/>
      <c r="K13" s="52"/>
      <c r="L13" s="52"/>
      <c r="M13" s="52"/>
      <c r="N13" s="52"/>
      <c r="O13" s="94" t="str">
        <f t="shared" ref="O13" si="5">IF(AND($B$24&gt;AR1,$B$24&lt;=AS1),"↓","")</f>
        <v/>
      </c>
      <c r="P13" s="94"/>
      <c r="Q13" s="94"/>
      <c r="R13" s="94"/>
      <c r="S13" s="94"/>
      <c r="T13" s="99"/>
      <c r="U13" s="104"/>
      <c r="W13" s="2199"/>
      <c r="X13" s="2197"/>
      <c r="Y13" s="2197"/>
      <c r="Z13" s="2197"/>
      <c r="AA13" s="2197"/>
      <c r="AB13" s="2197"/>
      <c r="AC13" s="2198"/>
      <c r="AD13" s="211"/>
      <c r="AE13" s="211"/>
      <c r="AF13" s="2196"/>
      <c r="AG13" s="2186"/>
      <c r="AI13" s="633"/>
    </row>
    <row r="14" spans="1:67" ht="15" customHeight="1" x14ac:dyDescent="0.3">
      <c r="A14" s="36"/>
      <c r="B14" s="36"/>
      <c r="C14" s="91"/>
      <c r="D14" s="14"/>
      <c r="E14" s="4"/>
      <c r="F14" s="4"/>
      <c r="G14" s="4"/>
      <c r="H14" s="4"/>
      <c r="I14" s="4"/>
      <c r="J14" s="4"/>
      <c r="K14" s="4"/>
      <c r="L14" s="4"/>
      <c r="M14" s="4"/>
      <c r="N14" s="4"/>
      <c r="O14" s="52"/>
      <c r="P14" s="52"/>
      <c r="Q14" s="52"/>
      <c r="R14" s="52"/>
      <c r="S14" s="52"/>
      <c r="T14" s="80"/>
      <c r="U14" s="55"/>
      <c r="W14" s="2199"/>
      <c r="X14" s="2197"/>
      <c r="Y14" s="2197"/>
      <c r="Z14" s="2197"/>
      <c r="AA14" s="2197"/>
      <c r="AB14" s="2197"/>
      <c r="AC14" s="2198"/>
      <c r="AD14" s="211"/>
      <c r="AE14" s="211"/>
      <c r="AF14" s="2196"/>
      <c r="AG14" s="2186"/>
      <c r="AI14" s="1"/>
    </row>
    <row r="15" spans="1:67" ht="15" customHeight="1" x14ac:dyDescent="0.3">
      <c r="A15" s="36"/>
      <c r="B15" s="38"/>
      <c r="C15" s="91"/>
      <c r="D15" s="14"/>
      <c r="E15" s="209"/>
      <c r="F15" s="52"/>
      <c r="G15" s="52"/>
      <c r="H15" s="52"/>
      <c r="I15" s="52"/>
      <c r="J15" s="52"/>
      <c r="K15" s="52"/>
      <c r="L15" s="52"/>
      <c r="M15" s="52"/>
      <c r="N15" s="52"/>
      <c r="O15" s="52"/>
      <c r="P15" s="52"/>
      <c r="Q15" s="52"/>
      <c r="R15" s="52"/>
      <c r="S15" s="52"/>
      <c r="T15" s="80"/>
      <c r="U15" s="55"/>
      <c r="W15" s="2199"/>
      <c r="X15" s="2197"/>
      <c r="Y15" s="2197"/>
      <c r="Z15" s="2197"/>
      <c r="AA15" s="2197"/>
      <c r="AB15" s="2197"/>
      <c r="AC15" s="2198"/>
      <c r="AD15" s="273"/>
      <c r="AE15" s="273"/>
      <c r="AF15" s="13"/>
      <c r="AI15" s="1"/>
    </row>
    <row r="16" spans="1:67" x14ac:dyDescent="0.3">
      <c r="A16" s="36"/>
      <c r="B16" s="38"/>
      <c r="C16" s="91"/>
      <c r="D16" s="14"/>
      <c r="E16" s="209"/>
      <c r="F16" s="52"/>
      <c r="G16" s="52"/>
      <c r="H16" s="52"/>
      <c r="I16" s="52"/>
      <c r="J16" s="52"/>
      <c r="K16" s="52"/>
      <c r="L16" s="52"/>
      <c r="M16" s="52"/>
      <c r="N16" s="52"/>
      <c r="O16" s="2184" t="str">
        <f>'Data Analysis'!F437</f>
        <v>Very Strong</v>
      </c>
      <c r="P16" s="2184"/>
      <c r="Q16" s="2184"/>
      <c r="R16" s="1261"/>
      <c r="S16" s="2247">
        <f>'Data Analysis'!E437</f>
        <v>5</v>
      </c>
      <c r="T16" s="80"/>
      <c r="U16" s="55"/>
      <c r="V16" s="38"/>
      <c r="W16" s="2199"/>
      <c r="X16" s="2197"/>
      <c r="Y16" s="2197"/>
      <c r="Z16" s="2197"/>
      <c r="AA16" s="2197"/>
      <c r="AB16" s="2197"/>
      <c r="AC16" s="2198"/>
      <c r="AD16" s="38"/>
      <c r="AE16" s="38"/>
      <c r="AF16" s="13"/>
      <c r="AI16" s="1"/>
    </row>
    <row r="17" spans="1:35" ht="15" customHeight="1" x14ac:dyDescent="0.3">
      <c r="A17" s="36"/>
      <c r="B17" s="264"/>
      <c r="C17" s="38"/>
      <c r="D17" s="14"/>
      <c r="E17" s="209"/>
      <c r="F17" s="52"/>
      <c r="G17" s="52"/>
      <c r="H17" s="52"/>
      <c r="I17" s="52"/>
      <c r="J17" s="52"/>
      <c r="K17" s="52"/>
      <c r="L17" s="52"/>
      <c r="M17" s="52"/>
      <c r="N17" s="52"/>
      <c r="O17" s="2184"/>
      <c r="P17" s="2184"/>
      <c r="Q17" s="2184"/>
      <c r="R17" s="1261"/>
      <c r="S17" s="2247"/>
      <c r="T17" s="80"/>
      <c r="U17" s="38"/>
      <c r="V17" s="38"/>
      <c r="W17" s="2199"/>
      <c r="X17" s="2197"/>
      <c r="Y17" s="2197"/>
      <c r="Z17" s="2197"/>
      <c r="AA17" s="2197"/>
      <c r="AB17" s="2197"/>
      <c r="AC17" s="2198"/>
      <c r="AD17" s="38"/>
      <c r="AE17" s="38"/>
      <c r="AI17" s="1"/>
    </row>
    <row r="18" spans="1:35" ht="15" customHeight="1" x14ac:dyDescent="0.3">
      <c r="A18" s="36"/>
      <c r="B18" s="265">
        <v>4.0278333333333327</v>
      </c>
      <c r="C18" s="38"/>
      <c r="D18" s="14"/>
      <c r="E18" s="209"/>
      <c r="F18" s="52"/>
      <c r="G18" s="52"/>
      <c r="H18" s="52"/>
      <c r="I18" s="52"/>
      <c r="J18" s="52"/>
      <c r="K18" s="52"/>
      <c r="L18" s="52"/>
      <c r="M18" s="52"/>
      <c r="N18" s="52"/>
      <c r="O18" s="2184"/>
      <c r="P18" s="2184"/>
      <c r="Q18" s="2184"/>
      <c r="R18" s="1261"/>
      <c r="S18" s="2247"/>
      <c r="T18" s="80"/>
      <c r="U18" s="38"/>
      <c r="V18" s="38"/>
      <c r="W18" s="2187" t="s">
        <v>302</v>
      </c>
      <c r="X18" s="2188"/>
      <c r="Y18" s="2188"/>
      <c r="Z18" s="2188"/>
      <c r="AA18" s="2188"/>
      <c r="AB18" s="2188"/>
      <c r="AC18" s="2189"/>
      <c r="AD18" s="38"/>
      <c r="AE18" s="38"/>
      <c r="AI18" s="1"/>
    </row>
    <row r="19" spans="1:35" ht="15.75" customHeight="1" x14ac:dyDescent="0.3">
      <c r="A19" s="36"/>
      <c r="B19" s="264"/>
      <c r="C19" s="38"/>
      <c r="D19" s="14"/>
      <c r="E19" s="209"/>
      <c r="F19" s="52"/>
      <c r="G19" s="52"/>
      <c r="H19" s="52"/>
      <c r="I19" s="52"/>
      <c r="J19" s="52"/>
      <c r="K19" s="52"/>
      <c r="L19" s="52"/>
      <c r="M19" s="52"/>
      <c r="N19" s="52"/>
      <c r="O19" s="52"/>
      <c r="P19" s="52"/>
      <c r="Q19" s="52"/>
      <c r="R19" s="52"/>
      <c r="S19" s="52"/>
      <c r="T19" s="80"/>
      <c r="U19" s="38"/>
      <c r="V19" s="38"/>
      <c r="W19" s="92"/>
      <c r="X19" s="267" t="s">
        <v>274</v>
      </c>
      <c r="Y19" s="314"/>
      <c r="Z19" s="314"/>
      <c r="AA19" s="315"/>
      <c r="AB19" s="316"/>
      <c r="AC19" s="406">
        <f>Dashboard!O74</f>
        <v>0</v>
      </c>
      <c r="AD19" s="38"/>
      <c r="AE19" s="38"/>
      <c r="AI19" s="1"/>
    </row>
    <row r="20" spans="1:35" ht="15.75" customHeight="1" x14ac:dyDescent="0.3">
      <c r="A20" s="36"/>
      <c r="B20" s="264"/>
      <c r="C20" s="38"/>
      <c r="D20" s="14"/>
      <c r="E20" s="209"/>
      <c r="F20" s="52"/>
      <c r="G20" s="52"/>
      <c r="H20" s="52"/>
      <c r="I20" s="52"/>
      <c r="J20" s="52"/>
      <c r="K20" s="52"/>
      <c r="L20" s="52"/>
      <c r="M20" s="52"/>
      <c r="N20" s="52"/>
      <c r="O20" s="52"/>
      <c r="P20" s="52"/>
      <c r="Q20" s="52"/>
      <c r="R20" s="52"/>
      <c r="S20" s="52"/>
      <c r="T20" s="80"/>
      <c r="U20" s="38"/>
      <c r="V20" s="38"/>
      <c r="W20" s="246"/>
      <c r="X20" s="267" t="s">
        <v>275</v>
      </c>
      <c r="Y20" s="314"/>
      <c r="Z20" s="314"/>
      <c r="AA20" s="315"/>
      <c r="AB20" s="316"/>
      <c r="AC20" s="406">
        <f>Dashboard!O75</f>
        <v>0</v>
      </c>
      <c r="AD20" s="38"/>
      <c r="AE20" s="38"/>
      <c r="AI20" s="1"/>
    </row>
    <row r="21" spans="1:35" ht="15.75" customHeight="1" x14ac:dyDescent="0.3">
      <c r="A21" s="36"/>
      <c r="B21" s="265">
        <v>4.1666666666666661</v>
      </c>
      <c r="C21" s="38"/>
      <c r="D21" s="14"/>
      <c r="E21" s="209"/>
      <c r="F21" s="52"/>
      <c r="G21" s="52"/>
      <c r="H21" s="52"/>
      <c r="I21" s="52"/>
      <c r="J21" s="52"/>
      <c r="K21" s="52"/>
      <c r="L21" s="52"/>
      <c r="M21" s="52"/>
      <c r="N21" s="52"/>
      <c r="O21" s="52"/>
      <c r="P21" s="52"/>
      <c r="Q21" s="52"/>
      <c r="R21" s="52"/>
      <c r="S21" s="52"/>
      <c r="T21" s="80"/>
      <c r="U21" s="38"/>
      <c r="V21" s="38"/>
      <c r="W21" s="246"/>
      <c r="X21" s="267" t="s">
        <v>472</v>
      </c>
      <c r="Y21" s="314"/>
      <c r="Z21" s="314"/>
      <c r="AA21" s="315"/>
      <c r="AB21" s="182"/>
      <c r="AC21" s="1838">
        <f>'Data Analysis'!R267</f>
        <v>0</v>
      </c>
      <c r="AD21" s="38"/>
      <c r="AE21" s="38"/>
      <c r="AI21" s="1"/>
    </row>
    <row r="22" spans="1:35" ht="15" customHeight="1" x14ac:dyDescent="0.3">
      <c r="A22" s="36"/>
      <c r="B22" s="264"/>
      <c r="C22" s="38"/>
      <c r="D22" s="14"/>
      <c r="E22" s="209"/>
      <c r="F22" s="52"/>
      <c r="G22" s="52"/>
      <c r="H22" s="52"/>
      <c r="I22" s="52"/>
      <c r="J22" s="52"/>
      <c r="K22" s="52"/>
      <c r="L22" s="52"/>
      <c r="M22" s="52"/>
      <c r="N22" s="52"/>
      <c r="O22" s="52"/>
      <c r="P22" s="52"/>
      <c r="Q22" s="52"/>
      <c r="R22" s="52"/>
      <c r="S22" s="52"/>
      <c r="T22" s="80"/>
      <c r="U22" s="38"/>
      <c r="V22" s="38"/>
      <c r="W22" s="246"/>
      <c r="X22" s="267" t="s">
        <v>485</v>
      </c>
      <c r="Y22" s="314"/>
      <c r="Z22" s="314"/>
      <c r="AA22" s="315"/>
      <c r="AB22" s="182"/>
      <c r="AC22" s="1838">
        <f>'Data Analysis'!R269</f>
        <v>0</v>
      </c>
      <c r="AD22" s="38"/>
      <c r="AE22" s="38"/>
      <c r="AI22" s="1"/>
    </row>
    <row r="23" spans="1:35" ht="15.75" customHeight="1" thickBot="1" x14ac:dyDescent="0.35">
      <c r="A23" s="36"/>
      <c r="B23" s="264"/>
      <c r="C23" s="38"/>
      <c r="D23" s="238"/>
      <c r="E23" s="257"/>
      <c r="F23" s="81"/>
      <c r="G23" s="81"/>
      <c r="H23" s="81"/>
      <c r="I23" s="81"/>
      <c r="J23" s="81"/>
      <c r="K23" s="81"/>
      <c r="L23" s="81"/>
      <c r="M23" s="81"/>
      <c r="N23" s="81"/>
      <c r="O23" s="81"/>
      <c r="P23" s="81"/>
      <c r="Q23" s="81"/>
      <c r="R23" s="81"/>
      <c r="S23" s="81"/>
      <c r="T23" s="255"/>
      <c r="U23" s="38"/>
      <c r="V23" s="38"/>
      <c r="W23" s="268"/>
      <c r="X23" s="1842" t="s">
        <v>486</v>
      </c>
      <c r="Y23" s="1843"/>
      <c r="Z23" s="1843"/>
      <c r="AA23" s="1844"/>
      <c r="AB23" s="404"/>
      <c r="AC23" s="1845">
        <f>'Data Analysis'!R268</f>
        <v>0</v>
      </c>
      <c r="AD23" s="38"/>
      <c r="AE23" s="38"/>
      <c r="AI23" s="1"/>
    </row>
    <row r="24" spans="1:35" x14ac:dyDescent="0.3">
      <c r="A24" s="36"/>
      <c r="B24" s="265">
        <v>5</v>
      </c>
      <c r="C24" s="38"/>
      <c r="D24" s="13"/>
      <c r="E24" s="79"/>
      <c r="F24" s="13"/>
      <c r="G24" s="13"/>
      <c r="H24" s="13"/>
      <c r="I24" s="13"/>
      <c r="J24" s="13"/>
      <c r="K24" s="13"/>
      <c r="L24" s="13"/>
      <c r="M24" s="13"/>
      <c r="N24" s="13"/>
      <c r="O24" s="38"/>
      <c r="P24" s="38"/>
      <c r="Q24" s="38"/>
      <c r="R24" s="38"/>
      <c r="S24" s="38"/>
      <c r="T24" s="38"/>
      <c r="U24" s="38"/>
      <c r="V24" s="38"/>
      <c r="W24" s="38"/>
      <c r="X24" s="38"/>
      <c r="Y24" s="77"/>
      <c r="Z24" s="77"/>
      <c r="AA24" s="38"/>
      <c r="AB24" s="38"/>
      <c r="AC24" s="38"/>
      <c r="AD24" s="38"/>
      <c r="AE24" s="38"/>
      <c r="AI24" s="1"/>
    </row>
    <row r="25" spans="1:35" hidden="1" x14ac:dyDescent="0.3">
      <c r="A25" s="36"/>
      <c r="B25" s="264"/>
      <c r="C25" s="38"/>
      <c r="D25" s="13"/>
      <c r="E25" s="79"/>
      <c r="F25" s="13"/>
      <c r="G25" s="13"/>
      <c r="H25" s="13"/>
      <c r="I25" s="13"/>
      <c r="J25" s="13"/>
      <c r="K25" s="13"/>
      <c r="L25" s="13"/>
      <c r="M25" s="13"/>
      <c r="N25" s="13"/>
      <c r="O25" s="38"/>
      <c r="P25" s="38"/>
      <c r="Q25" s="38"/>
      <c r="R25" s="38"/>
      <c r="S25" s="38"/>
      <c r="T25" s="38"/>
      <c r="U25" s="38"/>
      <c r="V25" s="38"/>
      <c r="W25" s="38"/>
      <c r="X25" s="38"/>
      <c r="Y25" s="77"/>
      <c r="Z25" s="77"/>
      <c r="AA25" s="38"/>
      <c r="AB25" s="38"/>
      <c r="AC25" s="38"/>
      <c r="AD25" s="38"/>
      <c r="AE25" s="38"/>
      <c r="AI25" s="1"/>
    </row>
    <row r="26" spans="1:35" hidden="1" x14ac:dyDescent="0.3">
      <c r="A26" s="36"/>
      <c r="B26" s="38"/>
      <c r="C26" s="38"/>
      <c r="D26" s="38"/>
      <c r="E26" s="60"/>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I26" s="1"/>
    </row>
    <row r="27" spans="1:35" hidden="1" x14ac:dyDescent="0.3">
      <c r="AI27" s="1"/>
    </row>
    <row r="28" spans="1:35" x14ac:dyDescent="0.3">
      <c r="B28" s="36"/>
      <c r="C28" s="36"/>
      <c r="D28" s="36"/>
      <c r="E28" s="59"/>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I28" s="1"/>
    </row>
    <row r="29" spans="1:35" ht="6" customHeight="1" x14ac:dyDescent="0.3">
      <c r="B29" s="723"/>
      <c r="C29" s="723"/>
      <c r="D29" s="724"/>
      <c r="E29" s="723"/>
      <c r="F29" s="723"/>
      <c r="G29" s="723"/>
      <c r="H29" s="723"/>
      <c r="I29" s="723"/>
      <c r="J29" s="723"/>
      <c r="K29" s="723"/>
      <c r="L29" s="723"/>
      <c r="M29" s="723"/>
      <c r="N29" s="723"/>
      <c r="O29" s="723"/>
      <c r="P29" s="723"/>
      <c r="Q29" s="723"/>
      <c r="R29" s="723"/>
      <c r="S29" s="723"/>
      <c r="T29" s="723"/>
      <c r="U29" s="723"/>
      <c r="V29" s="723"/>
      <c r="W29" s="723"/>
      <c r="X29" s="2297"/>
      <c r="Y29" s="2297"/>
      <c r="Z29" s="2297"/>
      <c r="AA29" s="2297"/>
      <c r="AB29" s="2297"/>
      <c r="AC29" s="2297"/>
      <c r="AD29" s="1033"/>
      <c r="AE29" s="1033"/>
      <c r="AF29" s="1034"/>
      <c r="AG29" s="1034"/>
      <c r="AH29" s="1034"/>
      <c r="AI29" s="1"/>
    </row>
    <row r="30" spans="1:35" ht="15.75" customHeight="1" x14ac:dyDescent="0.3">
      <c r="B30" s="567" t="s">
        <v>31</v>
      </c>
      <c r="C30" s="567"/>
      <c r="D30" s="568" t="s">
        <v>91</v>
      </c>
      <c r="E30" s="569"/>
      <c r="F30" s="569"/>
      <c r="G30" s="569"/>
      <c r="H30" s="569"/>
      <c r="I30" s="569"/>
      <c r="J30" s="569"/>
      <c r="K30" s="569"/>
      <c r="L30" s="569"/>
      <c r="M30" s="569"/>
      <c r="N30" s="569"/>
      <c r="O30" s="569"/>
      <c r="P30" s="569"/>
      <c r="Q30" s="569"/>
      <c r="R30" s="569"/>
      <c r="S30" s="569"/>
      <c r="T30" s="569"/>
      <c r="U30" s="2298"/>
      <c r="V30" s="2298"/>
      <c r="W30" s="2298"/>
      <c r="X30" s="2298"/>
      <c r="Y30" s="2298"/>
      <c r="Z30" s="2298"/>
      <c r="AA30" s="569"/>
      <c r="AB30" s="569"/>
      <c r="AC30" s="567" t="s">
        <v>32</v>
      </c>
      <c r="AD30" s="2298" t="s">
        <v>115</v>
      </c>
      <c r="AE30" s="2298"/>
      <c r="AF30" s="2298"/>
      <c r="AG30" s="2298"/>
      <c r="AH30" s="2298"/>
      <c r="AI30" s="1"/>
    </row>
    <row r="31" spans="1:35" ht="15.75" customHeight="1" x14ac:dyDescent="0.3">
      <c r="B31" s="725">
        <v>1</v>
      </c>
      <c r="C31" s="725"/>
      <c r="D31" s="565" t="s">
        <v>246</v>
      </c>
      <c r="E31" s="563"/>
      <c r="F31" s="563"/>
      <c r="G31" s="563"/>
      <c r="H31" s="563"/>
      <c r="I31" s="563"/>
      <c r="J31" s="563"/>
      <c r="K31" s="563"/>
      <c r="L31" s="563"/>
      <c r="M31" s="432"/>
      <c r="N31" s="432"/>
      <c r="O31" s="432"/>
      <c r="P31" s="432"/>
      <c r="Q31" s="432"/>
      <c r="R31" s="432"/>
      <c r="S31" s="432"/>
      <c r="T31" s="432"/>
      <c r="U31" s="432"/>
      <c r="V31" s="432"/>
      <c r="W31" s="432"/>
      <c r="X31" s="432"/>
      <c r="Y31" s="432"/>
      <c r="Z31" s="432"/>
      <c r="AA31" s="432"/>
      <c r="AB31" s="432"/>
      <c r="AC31" s="571"/>
      <c r="AD31" s="2300"/>
      <c r="AE31" s="2300"/>
      <c r="AF31" s="2300"/>
      <c r="AG31" s="2300"/>
      <c r="AH31" s="2300"/>
      <c r="AI31" s="1"/>
    </row>
    <row r="32" spans="1:35" ht="15.75" customHeight="1" x14ac:dyDescent="0.3">
      <c r="B32" s="726" t="s">
        <v>33</v>
      </c>
      <c r="C32" s="725"/>
      <c r="D32" s="2290" t="s">
        <v>110</v>
      </c>
      <c r="E32" s="2290"/>
      <c r="F32" s="2290"/>
      <c r="G32" s="2290"/>
      <c r="H32" s="2290"/>
      <c r="I32" s="2290"/>
      <c r="J32" s="2290"/>
      <c r="K32" s="2290"/>
      <c r="L32" s="2290"/>
      <c r="M32" s="2290"/>
      <c r="N32" s="2290"/>
      <c r="O32" s="2290"/>
      <c r="P32" s="2290"/>
      <c r="Q32" s="2290"/>
      <c r="R32" s="2290"/>
      <c r="S32" s="2290"/>
      <c r="T32" s="2290"/>
      <c r="U32" s="2290"/>
      <c r="V32" s="2290"/>
      <c r="W32" s="2290"/>
      <c r="X32" s="2290"/>
      <c r="Y32" s="2290"/>
      <c r="Z32" s="2290"/>
      <c r="AA32" s="2290"/>
      <c r="AB32" s="2290"/>
      <c r="AC32" s="1992" t="str">
        <f>IF(D33=0,"Not Applicable","")</f>
        <v/>
      </c>
      <c r="AD32" s="2300"/>
      <c r="AE32" s="2300"/>
      <c r="AF32" s="2300"/>
      <c r="AG32" s="2300"/>
      <c r="AH32" s="2300"/>
      <c r="AI32" s="1"/>
    </row>
    <row r="33" spans="2:35" ht="15.75" customHeight="1" x14ac:dyDescent="0.3">
      <c r="B33" s="727" t="s">
        <v>63</v>
      </c>
      <c r="C33" s="727" t="str">
        <f>Questions!BJ79</f>
        <v>PAA1</v>
      </c>
      <c r="D33" s="2259" t="str">
        <f>VLOOKUP(C33,Questions!$C$76:$H$149,6,FALSE)</f>
        <v>Do the project size and contract duration have the potential to maximize private sector efficiency?</v>
      </c>
      <c r="E33" s="2259"/>
      <c r="F33" s="2259"/>
      <c r="G33" s="2259"/>
      <c r="H33" s="2259"/>
      <c r="I33" s="2259"/>
      <c r="J33" s="2259"/>
      <c r="K33" s="2259"/>
      <c r="L33" s="2259"/>
      <c r="M33" s="2259"/>
      <c r="N33" s="2259"/>
      <c r="O33" s="2259"/>
      <c r="P33" s="2259"/>
      <c r="Q33" s="2259"/>
      <c r="R33" s="2259"/>
      <c r="S33" s="2259"/>
      <c r="T33" s="2259"/>
      <c r="U33" s="2259"/>
      <c r="V33" s="2259"/>
      <c r="W33" s="2259"/>
      <c r="X33" s="2259"/>
      <c r="Y33" s="2259"/>
      <c r="Z33" s="2259"/>
      <c r="AA33" s="2259"/>
      <c r="AB33" s="2259"/>
      <c r="AC33" s="1993" t="s">
        <v>34</v>
      </c>
      <c r="AD33" s="2301"/>
      <c r="AE33" s="2301"/>
      <c r="AF33" s="2301"/>
      <c r="AG33" s="2301"/>
      <c r="AH33" s="2301"/>
      <c r="AI33" s="1"/>
    </row>
    <row r="34" spans="2:35" ht="27.75" customHeight="1" x14ac:dyDescent="0.3">
      <c r="B34" s="727" t="s">
        <v>64</v>
      </c>
      <c r="C34" s="727" t="str">
        <f>Questions!BJ80</f>
        <v>PAA2</v>
      </c>
      <c r="D34" s="2259" t="str">
        <f>VLOOKUP(C34,Questions!$C$76:$H$149,6,FALSE)</f>
        <v>Does the PPP adequately integrate responsibility for design, build and finance with O&amp;M risks under one party that enables the private sector to derive efficiency gains from better management (than what the public sector could have achieved) of the whole-of-life-cycle costs of the project?</v>
      </c>
      <c r="E34" s="2259"/>
      <c r="F34" s="2259"/>
      <c r="G34" s="2259"/>
      <c r="H34" s="2259"/>
      <c r="I34" s="2259"/>
      <c r="J34" s="2259"/>
      <c r="K34" s="2259"/>
      <c r="L34" s="2259"/>
      <c r="M34" s="2259"/>
      <c r="N34" s="2259"/>
      <c r="O34" s="2259"/>
      <c r="P34" s="2259"/>
      <c r="Q34" s="2259"/>
      <c r="R34" s="2259"/>
      <c r="S34" s="2259"/>
      <c r="T34" s="2259"/>
      <c r="U34" s="2259"/>
      <c r="V34" s="2259"/>
      <c r="W34" s="2259"/>
      <c r="X34" s="2259"/>
      <c r="Y34" s="2259"/>
      <c r="Z34" s="2259"/>
      <c r="AA34" s="2259"/>
      <c r="AB34" s="2259"/>
      <c r="AC34" s="1993" t="s">
        <v>34</v>
      </c>
      <c r="AD34" s="2302"/>
      <c r="AE34" s="2302"/>
      <c r="AF34" s="2302"/>
      <c r="AG34" s="2302"/>
      <c r="AH34" s="2302"/>
      <c r="AI34" s="1"/>
    </row>
    <row r="35" spans="2:35" ht="15.75" customHeight="1" x14ac:dyDescent="0.3">
      <c r="B35" s="727" t="s">
        <v>65</v>
      </c>
      <c r="C35" s="727" t="str">
        <f>Questions!BJ81</f>
        <v>PAA3</v>
      </c>
      <c r="D35" s="2259" t="str">
        <f>VLOOKUP(C35,Questions!$C$76:$H$149,6,FALSE)</f>
        <v xml:space="preserve">Is there potential for the private sector to operate and manage the project more efficiently than the public sector to decrease the project’s whole-of-life-costs? </v>
      </c>
      <c r="E35" s="2259"/>
      <c r="F35" s="2259"/>
      <c r="G35" s="2259"/>
      <c r="H35" s="2259"/>
      <c r="I35" s="2259"/>
      <c r="J35" s="2259"/>
      <c r="K35" s="2259"/>
      <c r="L35" s="2259"/>
      <c r="M35" s="2259"/>
      <c r="N35" s="2259"/>
      <c r="O35" s="2259"/>
      <c r="P35" s="2259"/>
      <c r="Q35" s="2259"/>
      <c r="R35" s="2259"/>
      <c r="S35" s="2259"/>
      <c r="T35" s="2259"/>
      <c r="U35" s="2259"/>
      <c r="V35" s="2259"/>
      <c r="W35" s="2259"/>
      <c r="X35" s="2259"/>
      <c r="Y35" s="2259"/>
      <c r="Z35" s="2259"/>
      <c r="AA35" s="2259"/>
      <c r="AB35" s="2259"/>
      <c r="AC35" s="1993" t="s">
        <v>34</v>
      </c>
      <c r="AD35" s="2302"/>
      <c r="AE35" s="2302"/>
      <c r="AF35" s="2302"/>
      <c r="AG35" s="2302"/>
      <c r="AH35" s="2302"/>
      <c r="AI35" s="1"/>
    </row>
    <row r="36" spans="2:35" ht="15.75" customHeight="1" x14ac:dyDescent="0.3">
      <c r="B36" s="727" t="s">
        <v>66</v>
      </c>
      <c r="C36" s="727" t="str">
        <f>Questions!BJ82</f>
        <v>PAA4</v>
      </c>
      <c r="D36" s="2259" t="str">
        <f>VLOOKUP(C36,Questions!$C$76:$H$149,6,FALSE)</f>
        <v>Is there potential for a private operator to generate higher revenues than the public sector would have through better utilization of the project assets?</v>
      </c>
      <c r="E36" s="2259"/>
      <c r="F36" s="2259"/>
      <c r="G36" s="2259"/>
      <c r="H36" s="2259"/>
      <c r="I36" s="2259"/>
      <c r="J36" s="2259"/>
      <c r="K36" s="2259"/>
      <c r="L36" s="2259"/>
      <c r="M36" s="2259"/>
      <c r="N36" s="2259"/>
      <c r="O36" s="2259"/>
      <c r="P36" s="2259"/>
      <c r="Q36" s="2259"/>
      <c r="R36" s="2259"/>
      <c r="S36" s="2259"/>
      <c r="T36" s="2259"/>
      <c r="U36" s="2259"/>
      <c r="V36" s="2259"/>
      <c r="W36" s="2259"/>
      <c r="X36" s="2259"/>
      <c r="Y36" s="2259"/>
      <c r="Z36" s="2259"/>
      <c r="AA36" s="2259"/>
      <c r="AB36" s="2259"/>
      <c r="AC36" s="1993" t="s">
        <v>34</v>
      </c>
      <c r="AD36" s="2302"/>
      <c r="AE36" s="2302"/>
      <c r="AF36" s="2302"/>
      <c r="AG36" s="2302"/>
      <c r="AH36" s="2302"/>
      <c r="AI36" s="1"/>
    </row>
    <row r="37" spans="2:35" ht="15.75" customHeight="1" x14ac:dyDescent="0.3">
      <c r="B37" s="727" t="s">
        <v>69</v>
      </c>
      <c r="C37" s="727" t="str">
        <f>Questions!BJ83</f>
        <v>PAA5</v>
      </c>
      <c r="D37" s="2259" t="str">
        <f>VLOOKUP(C37,Questions!$C$76:$H$149,6,FALSE)</f>
        <v xml:space="preserve">Are payments to the private sector linked to performance and based on easily measurable and quantifiable outputs? </v>
      </c>
      <c r="E37" s="2259"/>
      <c r="F37" s="2259"/>
      <c r="G37" s="2259"/>
      <c r="H37" s="2259"/>
      <c r="I37" s="2259"/>
      <c r="J37" s="2259"/>
      <c r="K37" s="2259"/>
      <c r="L37" s="2259"/>
      <c r="M37" s="2259"/>
      <c r="N37" s="2259"/>
      <c r="O37" s="2259"/>
      <c r="P37" s="2259"/>
      <c r="Q37" s="2259"/>
      <c r="R37" s="2259"/>
      <c r="S37" s="2259"/>
      <c r="T37" s="2259"/>
      <c r="U37" s="2259"/>
      <c r="V37" s="2259"/>
      <c r="W37" s="2259"/>
      <c r="X37" s="2259"/>
      <c r="Y37" s="2259"/>
      <c r="Z37" s="2259"/>
      <c r="AA37" s="2259"/>
      <c r="AB37" s="2259"/>
      <c r="AC37" s="1993" t="s">
        <v>34</v>
      </c>
      <c r="AD37" s="2302"/>
      <c r="AE37" s="2302"/>
      <c r="AF37" s="2302"/>
      <c r="AG37" s="2302"/>
      <c r="AH37" s="2302"/>
      <c r="AI37" s="1"/>
    </row>
    <row r="38" spans="2:35" ht="15.75" customHeight="1" x14ac:dyDescent="0.3">
      <c r="B38" s="727" t="s">
        <v>35</v>
      </c>
      <c r="C38" s="727"/>
      <c r="D38" s="2290" t="s">
        <v>111</v>
      </c>
      <c r="E38" s="2290"/>
      <c r="F38" s="2290"/>
      <c r="G38" s="2290"/>
      <c r="H38" s="2290"/>
      <c r="I38" s="2290"/>
      <c r="J38" s="2290"/>
      <c r="K38" s="2290"/>
      <c r="L38" s="2290"/>
      <c r="M38" s="2290"/>
      <c r="N38" s="2290"/>
      <c r="O38" s="2290"/>
      <c r="P38" s="2290"/>
      <c r="Q38" s="2290"/>
      <c r="R38" s="2290"/>
      <c r="S38" s="2290"/>
      <c r="T38" s="2290"/>
      <c r="U38" s="2290"/>
      <c r="V38" s="2290"/>
      <c r="W38" s="2290"/>
      <c r="X38" s="2290"/>
      <c r="Y38" s="2290"/>
      <c r="Z38" s="2290"/>
      <c r="AA38" s="432"/>
      <c r="AB38" s="432"/>
      <c r="AC38" s="1993" t="s">
        <v>34</v>
      </c>
      <c r="AD38" s="2303"/>
      <c r="AE38" s="2303"/>
      <c r="AF38" s="2303"/>
      <c r="AG38" s="2303"/>
      <c r="AH38" s="2303"/>
      <c r="AI38" s="1"/>
    </row>
    <row r="39" spans="2:35" ht="15.75" customHeight="1" x14ac:dyDescent="0.3">
      <c r="B39" s="727" t="s">
        <v>63</v>
      </c>
      <c r="C39" s="727" t="str">
        <f>Questions!BR79</f>
        <v>PAB1</v>
      </c>
      <c r="D39" s="2262" t="str">
        <f>VLOOKUP(C39,Questions!$C$76:$H$149,6,FALSE)</f>
        <v>Are the modeling assumptions backed by historical or empirical data?</v>
      </c>
      <c r="E39" s="2262"/>
      <c r="F39" s="2262"/>
      <c r="G39" s="2262"/>
      <c r="H39" s="2262"/>
      <c r="I39" s="2262"/>
      <c r="J39" s="2262"/>
      <c r="K39" s="2262"/>
      <c r="L39" s="2262"/>
      <c r="M39" s="2262"/>
      <c r="N39" s="2262"/>
      <c r="O39" s="2262"/>
      <c r="P39" s="2262"/>
      <c r="Q39" s="2262"/>
      <c r="R39" s="2262"/>
      <c r="S39" s="2262"/>
      <c r="T39" s="2262"/>
      <c r="U39" s="2262"/>
      <c r="V39" s="2262"/>
      <c r="W39" s="2262"/>
      <c r="X39" s="2262"/>
      <c r="Y39" s="2262"/>
      <c r="Z39" s="2262"/>
      <c r="AA39" s="2262"/>
      <c r="AB39" s="2262"/>
      <c r="AC39" s="1993" t="s">
        <v>34</v>
      </c>
      <c r="AD39" s="2301"/>
      <c r="AE39" s="2301"/>
      <c r="AF39" s="2301"/>
      <c r="AG39" s="2301"/>
      <c r="AH39" s="2301"/>
      <c r="AI39" s="1"/>
    </row>
    <row r="40" spans="2:35" ht="15.75" customHeight="1" x14ac:dyDescent="0.3">
      <c r="B40" s="727" t="s">
        <v>64</v>
      </c>
      <c r="C40" s="727" t="str">
        <f>IF(OR(AND('0.Basic Project Data'!H38&lt;=0,'0.Basic Project Data'!H39&lt;=0),'0.Basic Project Data'!H39&lt;=0,ISERROR('0.Basic Project Data'!H38/'0.Basic Project Data'!H39)),Questions!BR80,Questions!BR81)</f>
        <v>PAB2</v>
      </c>
      <c r="D40" s="2262" t="str">
        <f>VLOOKUP(C40,Questions!$C$76:$H$149,6,FALSE)</f>
        <v>Is the value for money (VFM) for the project greater than the threshold VFM requirement?</v>
      </c>
      <c r="E40" s="2262"/>
      <c r="F40" s="2262"/>
      <c r="G40" s="2262"/>
      <c r="H40" s="2262"/>
      <c r="I40" s="2262"/>
      <c r="J40" s="2262"/>
      <c r="K40" s="2262"/>
      <c r="L40" s="2262"/>
      <c r="M40" s="2262"/>
      <c r="N40" s="2262"/>
      <c r="O40" s="2262"/>
      <c r="P40" s="2262"/>
      <c r="Q40" s="2262"/>
      <c r="R40" s="2262"/>
      <c r="S40" s="2262"/>
      <c r="T40" s="2262"/>
      <c r="U40" s="2262"/>
      <c r="V40" s="2262"/>
      <c r="W40" s="2262"/>
      <c r="X40" s="2262"/>
      <c r="Y40" s="2262"/>
      <c r="Z40" s="2262"/>
      <c r="AA40" s="2262"/>
      <c r="AB40" s="2262"/>
      <c r="AC40" s="1993" t="s">
        <v>34</v>
      </c>
      <c r="AD40" s="2302"/>
      <c r="AE40" s="2302"/>
      <c r="AF40" s="2302"/>
      <c r="AG40" s="2302"/>
      <c r="AH40" s="2302"/>
      <c r="AI40" s="1"/>
    </row>
    <row r="41" spans="2:35" ht="15.75" customHeight="1" x14ac:dyDescent="0.3">
      <c r="B41" s="727" t="s">
        <v>65</v>
      </c>
      <c r="C41" s="727" t="str">
        <f>IF(C40="PAB2","PAB3","FFF")</f>
        <v>PAB3</v>
      </c>
      <c r="D41" s="2262" t="str">
        <f>VLOOKUP(C41,Questions!$C$76:$H$149,6,FALSE)</f>
        <v>Will the VFM for the project remain greater than the threshold rate in the stress (or low) case scenario?</v>
      </c>
      <c r="E41" s="2262"/>
      <c r="F41" s="2262"/>
      <c r="G41" s="2262"/>
      <c r="H41" s="2262"/>
      <c r="I41" s="2262"/>
      <c r="J41" s="2262"/>
      <c r="K41" s="2262"/>
      <c r="L41" s="2262"/>
      <c r="M41" s="2262"/>
      <c r="N41" s="2262"/>
      <c r="O41" s="2262"/>
      <c r="P41" s="2262"/>
      <c r="Q41" s="2262"/>
      <c r="R41" s="2262"/>
      <c r="S41" s="2262"/>
      <c r="T41" s="2262"/>
      <c r="U41" s="2262"/>
      <c r="V41" s="2262"/>
      <c r="W41" s="2262"/>
      <c r="X41" s="2262"/>
      <c r="Y41" s="2262"/>
      <c r="Z41" s="2262"/>
      <c r="AA41" s="2262"/>
      <c r="AB41" s="2262"/>
      <c r="AC41" s="1993" t="s">
        <v>34</v>
      </c>
      <c r="AD41" s="2304"/>
      <c r="AE41" s="2304"/>
      <c r="AF41" s="2304"/>
      <c r="AG41" s="2304"/>
      <c r="AH41" s="2304"/>
      <c r="AI41" s="1"/>
    </row>
    <row r="42" spans="2:35" ht="7.5" customHeight="1" x14ac:dyDescent="0.3">
      <c r="B42" s="430"/>
      <c r="C42" s="48"/>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2305"/>
      <c r="AE42" s="2305"/>
      <c r="AF42" s="2305"/>
      <c r="AG42" s="2305"/>
      <c r="AH42" s="2305"/>
      <c r="AI42" s="1"/>
    </row>
    <row r="43" spans="2:35" ht="15.75" customHeight="1" x14ac:dyDescent="0.3">
      <c r="B43" s="725">
        <v>2</v>
      </c>
      <c r="C43" s="725"/>
      <c r="D43" s="2290" t="s">
        <v>45</v>
      </c>
      <c r="E43" s="2290"/>
      <c r="F43" s="2290"/>
      <c r="G43" s="2290"/>
      <c r="H43" s="2290"/>
      <c r="I43" s="2290"/>
      <c r="J43" s="2290"/>
      <c r="K43" s="2290"/>
      <c r="L43" s="2290"/>
      <c r="M43" s="2290"/>
      <c r="N43" s="2290"/>
      <c r="O43" s="2290"/>
      <c r="P43" s="2290"/>
      <c r="Q43" s="2290"/>
      <c r="R43" s="2290"/>
      <c r="S43" s="2290"/>
      <c r="T43" s="2290"/>
      <c r="U43" s="2290"/>
      <c r="V43" s="2290"/>
      <c r="W43" s="2290"/>
      <c r="X43" s="2290"/>
      <c r="Y43" s="2290"/>
      <c r="Z43" s="2290"/>
      <c r="AA43" s="2290"/>
      <c r="AB43" s="2290"/>
      <c r="AC43" s="1992" t="str">
        <f>IF(D44=0,"Not Applicable","")</f>
        <v/>
      </c>
      <c r="AD43" s="2315"/>
      <c r="AE43" s="2315"/>
      <c r="AF43" s="2315"/>
      <c r="AG43" s="2315"/>
      <c r="AH43" s="2315"/>
      <c r="AI43" s="1"/>
    </row>
    <row r="44" spans="2:35" ht="15.75" customHeight="1" x14ac:dyDescent="0.3">
      <c r="B44" s="727" t="s">
        <v>63</v>
      </c>
      <c r="C44" s="727" t="str">
        <f>Questions!BZ79</f>
        <v>PAC1</v>
      </c>
      <c r="D44" s="2262" t="str">
        <f>VLOOKUP(C44,Questions!$C$76:$H$149,6,FALSE)</f>
        <v>Is there a favorable response expected from the private sector towards the project? For example, as gauged by the contracting agency through preliminary market consultations or similar investor interactions.</v>
      </c>
      <c r="E44" s="2262"/>
      <c r="F44" s="2262"/>
      <c r="G44" s="2262"/>
      <c r="H44" s="2262"/>
      <c r="I44" s="2262"/>
      <c r="J44" s="2262"/>
      <c r="K44" s="2262"/>
      <c r="L44" s="2262"/>
      <c r="M44" s="2262"/>
      <c r="N44" s="2262"/>
      <c r="O44" s="2262"/>
      <c r="P44" s="2262"/>
      <c r="Q44" s="2262"/>
      <c r="R44" s="2262"/>
      <c r="S44" s="2262"/>
      <c r="T44" s="2262"/>
      <c r="U44" s="2262"/>
      <c r="V44" s="2262"/>
      <c r="W44" s="2262"/>
      <c r="X44" s="2262"/>
      <c r="Y44" s="2262"/>
      <c r="Z44" s="2262"/>
      <c r="AA44" s="2262"/>
      <c r="AB44" s="2262"/>
      <c r="AC44" s="1993" t="s">
        <v>34</v>
      </c>
      <c r="AD44" s="2301"/>
      <c r="AE44" s="2301"/>
      <c r="AF44" s="2301"/>
      <c r="AG44" s="2301"/>
      <c r="AH44" s="2301"/>
      <c r="AI44" s="1"/>
    </row>
    <row r="45" spans="2:35" ht="15.75" customHeight="1" x14ac:dyDescent="0.3">
      <c r="B45" s="727" t="s">
        <v>64</v>
      </c>
      <c r="C45" s="727" t="str">
        <f>Questions!BZ80</f>
        <v>PAC2</v>
      </c>
      <c r="D45" s="2262" t="str">
        <f>VLOOKUP(C45,Questions!$C$76:$H$149,6,FALSE)</f>
        <v>Have similar PPP projects been successfully implemented in the past in the country or region?</v>
      </c>
      <c r="E45" s="2262"/>
      <c r="F45" s="2262"/>
      <c r="G45" s="2262"/>
      <c r="H45" s="2262"/>
      <c r="I45" s="2262"/>
      <c r="J45" s="2262"/>
      <c r="K45" s="2262"/>
      <c r="L45" s="2262"/>
      <c r="M45" s="2262"/>
      <c r="N45" s="2262"/>
      <c r="O45" s="2262"/>
      <c r="P45" s="2262"/>
      <c r="Q45" s="2262"/>
      <c r="R45" s="2262"/>
      <c r="S45" s="2262"/>
      <c r="T45" s="2262"/>
      <c r="U45" s="2262"/>
      <c r="V45" s="2262"/>
      <c r="W45" s="2262"/>
      <c r="X45" s="2262"/>
      <c r="Y45" s="2262"/>
      <c r="Z45" s="2262"/>
      <c r="AA45" s="2262"/>
      <c r="AB45" s="2262"/>
      <c r="AC45" s="1993" t="s">
        <v>34</v>
      </c>
      <c r="AD45" s="2302"/>
      <c r="AE45" s="2302"/>
      <c r="AF45" s="2302"/>
      <c r="AG45" s="2302"/>
      <c r="AH45" s="2302"/>
      <c r="AI45" s="1"/>
    </row>
    <row r="46" spans="2:35" ht="15.75" customHeight="1" x14ac:dyDescent="0.3">
      <c r="B46" s="727" t="s">
        <v>65</v>
      </c>
      <c r="C46" s="727" t="str">
        <f>Questions!BZ81</f>
        <v>PAC3</v>
      </c>
      <c r="D46" s="2262" t="str">
        <f>VLOOKUP(C46,Questions!$C$76:$H$149,6,FALSE)</f>
        <v>Will debt financing be available for the project with a relatively long tenure (more than 7 years) and at a reasonable cost?</v>
      </c>
      <c r="E46" s="2262"/>
      <c r="F46" s="2262"/>
      <c r="G46" s="2262"/>
      <c r="H46" s="2262"/>
      <c r="I46" s="2262"/>
      <c r="J46" s="2262"/>
      <c r="K46" s="2262"/>
      <c r="L46" s="2262"/>
      <c r="M46" s="2262"/>
      <c r="N46" s="2262"/>
      <c r="O46" s="2262"/>
      <c r="P46" s="2262"/>
      <c r="Q46" s="2262"/>
      <c r="R46" s="2262"/>
      <c r="S46" s="2262"/>
      <c r="T46" s="2262"/>
      <c r="U46" s="2262"/>
      <c r="V46" s="2262"/>
      <c r="W46" s="2262"/>
      <c r="X46" s="2262"/>
      <c r="Y46" s="2262"/>
      <c r="Z46" s="2262"/>
      <c r="AA46" s="2262"/>
      <c r="AB46" s="2262"/>
      <c r="AC46" s="1993" t="s">
        <v>34</v>
      </c>
      <c r="AD46" s="2302"/>
      <c r="AE46" s="2302"/>
      <c r="AF46" s="2302"/>
      <c r="AG46" s="2302"/>
      <c r="AH46" s="2302"/>
      <c r="AI46" s="1"/>
    </row>
    <row r="47" spans="2:35" ht="15.75" customHeight="1" x14ac:dyDescent="0.3">
      <c r="B47" s="727" t="s">
        <v>66</v>
      </c>
      <c r="C47" s="727" t="str">
        <f>Questions!BZ82</f>
        <v>PAC4</v>
      </c>
      <c r="D47" s="2262" t="str">
        <f>VLOOKUP(C47,Questions!$C$76:$H$149,6,FALSE)</f>
        <v>Is the project eligible for government funding support?</v>
      </c>
      <c r="E47" s="2262"/>
      <c r="F47" s="2262"/>
      <c r="G47" s="2262"/>
      <c r="H47" s="2262"/>
      <c r="I47" s="2262"/>
      <c r="J47" s="2262"/>
      <c r="K47" s="2262"/>
      <c r="L47" s="2262"/>
      <c r="M47" s="2262"/>
      <c r="N47" s="2262"/>
      <c r="O47" s="2262"/>
      <c r="P47" s="2262"/>
      <c r="Q47" s="2262"/>
      <c r="R47" s="2262"/>
      <c r="S47" s="2262"/>
      <c r="T47" s="2262"/>
      <c r="U47" s="2262"/>
      <c r="V47" s="2262"/>
      <c r="W47" s="2262"/>
      <c r="X47" s="2262"/>
      <c r="Y47" s="2262"/>
      <c r="Z47" s="2262"/>
      <c r="AA47" s="2262"/>
      <c r="AB47" s="2262"/>
      <c r="AC47" s="1993" t="s">
        <v>34</v>
      </c>
      <c r="AD47" s="2302"/>
      <c r="AE47" s="2302"/>
      <c r="AF47" s="2302"/>
      <c r="AG47" s="2302"/>
      <c r="AH47" s="2302"/>
      <c r="AI47" s="1"/>
    </row>
    <row r="48" spans="2:35" ht="15.75" customHeight="1" x14ac:dyDescent="0.3">
      <c r="B48" s="727" t="s">
        <v>69</v>
      </c>
      <c r="C48" s="727" t="str">
        <f>Questions!BZ83</f>
        <v>PAC5</v>
      </c>
      <c r="D48" s="2262" t="str">
        <f>VLOOKUP(C48,Questions!$C$76:$H$149,6,FALSE)</f>
        <v>Is the project eligible for funding/ guarantees from  multilateral/donor agencies?</v>
      </c>
      <c r="E48" s="2262"/>
      <c r="F48" s="2262"/>
      <c r="G48" s="2262"/>
      <c r="H48" s="2262"/>
      <c r="I48" s="2262"/>
      <c r="J48" s="2262"/>
      <c r="K48" s="2262"/>
      <c r="L48" s="2262"/>
      <c r="M48" s="2262"/>
      <c r="N48" s="2262"/>
      <c r="O48" s="2262"/>
      <c r="P48" s="2262"/>
      <c r="Q48" s="2262"/>
      <c r="R48" s="2262"/>
      <c r="S48" s="2262"/>
      <c r="T48" s="2262"/>
      <c r="U48" s="2262"/>
      <c r="V48" s="2262"/>
      <c r="W48" s="2262"/>
      <c r="X48" s="2262"/>
      <c r="Y48" s="2262"/>
      <c r="Z48" s="2262"/>
      <c r="AA48" s="2262"/>
      <c r="AB48" s="2262"/>
      <c r="AC48" s="1993" t="s">
        <v>34</v>
      </c>
      <c r="AD48" s="2302"/>
      <c r="AE48" s="2302"/>
      <c r="AF48" s="2302"/>
      <c r="AG48" s="2302"/>
      <c r="AH48" s="2302"/>
      <c r="AI48" s="1"/>
    </row>
    <row r="49" spans="1:39" ht="6" customHeight="1" x14ac:dyDescent="0.3">
      <c r="B49" s="430"/>
      <c r="C49" s="430"/>
      <c r="D49" s="2299"/>
      <c r="E49" s="2299"/>
      <c r="F49" s="2299"/>
      <c r="G49" s="2299"/>
      <c r="H49" s="2299"/>
      <c r="I49" s="2299"/>
      <c r="J49" s="2299"/>
      <c r="K49" s="2299"/>
      <c r="L49" s="2299"/>
      <c r="M49" s="2299"/>
      <c r="N49" s="2299"/>
      <c r="O49" s="2299"/>
      <c r="P49" s="2299"/>
      <c r="Q49" s="2299"/>
      <c r="R49" s="2299"/>
      <c r="S49" s="2299"/>
      <c r="T49" s="2299"/>
      <c r="U49" s="2299"/>
      <c r="V49" s="2299"/>
      <c r="W49" s="2299"/>
      <c r="X49" s="2299"/>
      <c r="Y49" s="2299"/>
      <c r="Z49" s="2299"/>
      <c r="AA49" s="430"/>
      <c r="AB49" s="430"/>
      <c r="AC49" s="1994"/>
      <c r="AD49" s="2314"/>
      <c r="AE49" s="2314"/>
      <c r="AF49" s="2314"/>
      <c r="AG49" s="2314"/>
      <c r="AH49" s="2314"/>
      <c r="AI49" s="1"/>
    </row>
    <row r="50" spans="1:39" ht="15.75" customHeight="1" x14ac:dyDescent="0.3">
      <c r="B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1995"/>
      <c r="AD50" s="36"/>
      <c r="AE50" s="36"/>
      <c r="AI50" s="1"/>
    </row>
    <row r="51" spans="1:39" ht="7.5" customHeight="1" x14ac:dyDescent="0.3">
      <c r="A51" s="1"/>
      <c r="B51" s="629"/>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1"/>
      <c r="AE51" s="1"/>
      <c r="AF51" s="1"/>
      <c r="AG51" s="1"/>
      <c r="AH51" s="1"/>
      <c r="AI51" s="1"/>
    </row>
    <row r="52" spans="1:39" x14ac:dyDescent="0.3">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row>
    <row r="63" spans="1:39" x14ac:dyDescent="0.3">
      <c r="AL63" s="26"/>
      <c r="AM63" s="26"/>
    </row>
    <row r="64" spans="1:39" x14ac:dyDescent="0.3">
      <c r="AL64" s="27"/>
      <c r="AM64" s="28"/>
    </row>
    <row r="65" spans="38:39" x14ac:dyDescent="0.3">
      <c r="AL65" s="27"/>
      <c r="AM65" s="28"/>
    </row>
    <row r="66" spans="38:39" ht="15" thickBot="1" x14ac:dyDescent="0.35"/>
    <row r="67" spans="38:39" ht="18.600000000000001" thickBot="1" x14ac:dyDescent="0.35">
      <c r="AL67" s="2210" t="s">
        <v>555</v>
      </c>
      <c r="AM67" s="2211"/>
    </row>
    <row r="68" spans="38:39" ht="18" x14ac:dyDescent="0.3">
      <c r="AL68" s="2308" t="s">
        <v>246</v>
      </c>
      <c r="AM68" s="2309"/>
    </row>
    <row r="69" spans="38:39" ht="258" customHeight="1" thickBot="1" x14ac:dyDescent="0.35">
      <c r="AL69" s="2310" t="s">
        <v>904</v>
      </c>
      <c r="AM69" s="2311"/>
    </row>
    <row r="70" spans="38:39" ht="15" customHeight="1" x14ac:dyDescent="0.3">
      <c r="AL70" s="2306" t="s">
        <v>45</v>
      </c>
      <c r="AM70" s="2307"/>
    </row>
    <row r="71" spans="38:39" ht="15" customHeight="1" x14ac:dyDescent="0.3">
      <c r="AL71" s="2312" t="s">
        <v>905</v>
      </c>
      <c r="AM71" s="2313"/>
    </row>
    <row r="72" spans="38:39" ht="66.75" customHeight="1" thickBot="1" x14ac:dyDescent="0.35">
      <c r="AL72" s="2310"/>
      <c r="AM72" s="2311"/>
    </row>
    <row r="73" spans="38:39" x14ac:dyDescent="0.3">
      <c r="AM73" s="28"/>
    </row>
    <row r="156" spans="26:27" ht="15" thickBot="1" x14ac:dyDescent="0.35"/>
    <row r="157" spans="26:27" ht="27.6" x14ac:dyDescent="0.3">
      <c r="Z157" s="29" t="s">
        <v>0</v>
      </c>
      <c r="AA157" s="30" t="s">
        <v>68</v>
      </c>
    </row>
    <row r="158" spans="26:27" ht="15.75" customHeight="1" thickBot="1" x14ac:dyDescent="0.35">
      <c r="Z158" s="31" t="s">
        <v>231</v>
      </c>
      <c r="AA158" s="32"/>
    </row>
    <row r="159" spans="26:27" ht="409.6" x14ac:dyDescent="0.3">
      <c r="Z159" s="105" t="s">
        <v>232</v>
      </c>
      <c r="AA159" s="106" t="s">
        <v>233</v>
      </c>
    </row>
    <row r="160" spans="26:27" ht="409.6" thickBot="1" x14ac:dyDescent="0.35">
      <c r="Z160" s="35" t="s">
        <v>234</v>
      </c>
      <c r="AA160" s="37" t="s">
        <v>235</v>
      </c>
    </row>
    <row r="161" spans="26:27" ht="15" thickBot="1" x14ac:dyDescent="0.35">
      <c r="Z161" s="28"/>
      <c r="AA161" s="28"/>
    </row>
    <row r="162" spans="26:27" ht="28.2" thickBot="1" x14ac:dyDescent="0.35">
      <c r="Z162" s="29" t="s">
        <v>0</v>
      </c>
      <c r="AA162" s="30" t="s">
        <v>68</v>
      </c>
    </row>
    <row r="163" spans="26:27" ht="27.6" x14ac:dyDescent="0.3">
      <c r="Z163" s="29" t="s">
        <v>45</v>
      </c>
      <c r="AA163" s="107"/>
    </row>
    <row r="164" spans="26:27" ht="409.6" thickBot="1" x14ac:dyDescent="0.35">
      <c r="Z164" s="33" t="s">
        <v>236</v>
      </c>
      <c r="AA164" s="34" t="s">
        <v>237</v>
      </c>
    </row>
  </sheetData>
  <sheetProtection password="DA20" sheet="1" objects="1" scenarios="1"/>
  <mergeCells count="64">
    <mergeCell ref="AD48:AH48"/>
    <mergeCell ref="AD49:AH49"/>
    <mergeCell ref="AD43:AH43"/>
    <mergeCell ref="AD44:AH44"/>
    <mergeCell ref="AD45:AH45"/>
    <mergeCell ref="AD46:AH46"/>
    <mergeCell ref="AD47:AH47"/>
    <mergeCell ref="AL67:AM67"/>
    <mergeCell ref="AL70:AM70"/>
    <mergeCell ref="AL68:AM68"/>
    <mergeCell ref="AL69:AM69"/>
    <mergeCell ref="AL71:AM72"/>
    <mergeCell ref="AD38:AH38"/>
    <mergeCell ref="AD39:AH39"/>
    <mergeCell ref="AD40:AH40"/>
    <mergeCell ref="AD41:AH41"/>
    <mergeCell ref="AD42:AH42"/>
    <mergeCell ref="AD33:AH33"/>
    <mergeCell ref="AD34:AH34"/>
    <mergeCell ref="AD35:AH35"/>
    <mergeCell ref="AD36:AH36"/>
    <mergeCell ref="AD37:AH37"/>
    <mergeCell ref="AD30:AH30"/>
    <mergeCell ref="AD31:AH31"/>
    <mergeCell ref="AD32:AH32"/>
    <mergeCell ref="AG12:AG14"/>
    <mergeCell ref="AF3:AF14"/>
    <mergeCell ref="AG3:AG5"/>
    <mergeCell ref="AG6:AG8"/>
    <mergeCell ref="AG9:AG11"/>
    <mergeCell ref="S16:S18"/>
    <mergeCell ref="O16:Q18"/>
    <mergeCell ref="W4:AC4"/>
    <mergeCell ref="W5:W10"/>
    <mergeCell ref="X5:AC10"/>
    <mergeCell ref="W12:W17"/>
    <mergeCell ref="X12:AC17"/>
    <mergeCell ref="D49:Z49"/>
    <mergeCell ref="D37:AB37"/>
    <mergeCell ref="D39:AB39"/>
    <mergeCell ref="D40:AB40"/>
    <mergeCell ref="D44:AB44"/>
    <mergeCell ref="D45:AB45"/>
    <mergeCell ref="D46:AB46"/>
    <mergeCell ref="D47:AB47"/>
    <mergeCell ref="D48:AB48"/>
    <mergeCell ref="D41:AB41"/>
    <mergeCell ref="D43:AB43"/>
    <mergeCell ref="AB1:AC1"/>
    <mergeCell ref="D38:Z38"/>
    <mergeCell ref="D33:AB33"/>
    <mergeCell ref="D34:AB34"/>
    <mergeCell ref="D35:AB35"/>
    <mergeCell ref="D36:AB36"/>
    <mergeCell ref="W18:AC18"/>
    <mergeCell ref="E4:O4"/>
    <mergeCell ref="Q4:T4"/>
    <mergeCell ref="D8:M8"/>
    <mergeCell ref="D11:M11"/>
    <mergeCell ref="D3:T3"/>
    <mergeCell ref="X29:AC29"/>
    <mergeCell ref="U30:Z30"/>
    <mergeCell ref="D32:AB32"/>
    <mergeCell ref="W11:AC11"/>
  </mergeCells>
  <conditionalFormatting sqref="D39">
    <cfRule type="cellIs" dxfId="357" priority="10" operator="equal">
      <formula>0</formula>
    </cfRule>
  </conditionalFormatting>
  <conditionalFormatting sqref="D34">
    <cfRule type="cellIs" dxfId="356" priority="24" operator="equal">
      <formula>0</formula>
    </cfRule>
  </conditionalFormatting>
  <conditionalFormatting sqref="D36">
    <cfRule type="cellIs" dxfId="355" priority="22" operator="equal">
      <formula>0</formula>
    </cfRule>
  </conditionalFormatting>
  <conditionalFormatting sqref="D37">
    <cfRule type="cellIs" dxfId="354" priority="21" operator="equal">
      <formula>0</formula>
    </cfRule>
  </conditionalFormatting>
  <conditionalFormatting sqref="B34">
    <cfRule type="expression" dxfId="353" priority="14">
      <formula>$D$34=0</formula>
    </cfRule>
  </conditionalFormatting>
  <conditionalFormatting sqref="B35">
    <cfRule type="expression" dxfId="352" priority="13">
      <formula>$D$35=0</formula>
    </cfRule>
  </conditionalFormatting>
  <conditionalFormatting sqref="B36">
    <cfRule type="expression" dxfId="351" priority="12">
      <formula>$D$36=0</formula>
    </cfRule>
  </conditionalFormatting>
  <conditionalFormatting sqref="B37">
    <cfRule type="expression" dxfId="350" priority="11">
      <formula>$D$37=0</formula>
    </cfRule>
  </conditionalFormatting>
  <conditionalFormatting sqref="AC33">
    <cfRule type="expression" dxfId="349" priority="9">
      <formula>D33=0</formula>
    </cfRule>
  </conditionalFormatting>
  <conditionalFormatting sqref="D41:AB41">
    <cfRule type="cellIs" dxfId="348" priority="5" operator="equal">
      <formula>0</formula>
    </cfRule>
  </conditionalFormatting>
  <conditionalFormatting sqref="B41">
    <cfRule type="expression" dxfId="347" priority="4">
      <formula>D41=0</formula>
    </cfRule>
  </conditionalFormatting>
  <conditionalFormatting sqref="AD41:AH41">
    <cfRule type="expression" dxfId="346" priority="3">
      <formula>$D$41=0</formula>
    </cfRule>
  </conditionalFormatting>
  <conditionalFormatting sqref="AC34:AC41">
    <cfRule type="expression" dxfId="345" priority="2">
      <formula>D34=0</formula>
    </cfRule>
  </conditionalFormatting>
  <conditionalFormatting sqref="AC44:AC48">
    <cfRule type="expression" dxfId="344" priority="1">
      <formula>D44=0</formula>
    </cfRule>
  </conditionalFormatting>
  <dataValidations count="2">
    <dataValidation type="list" allowBlank="1" showInputMessage="1" showErrorMessage="1" promptTitle="Select Response" sqref="AC44:AC48 AC33:AC37 AC39:AC41" xr:uid="{00000000-0002-0000-0600-000000000000}">
      <formula1>"Yes,No,Uncertain,N/A,Skip"</formula1>
    </dataValidation>
    <dataValidation allowBlank="1" showInputMessage="1" showErrorMessage="1" promptTitle="Select Response" sqref="AD33:AH49" xr:uid="{00000000-0002-0000-0600-000001000000}"/>
  </dataValidations>
  <hyperlinks>
    <hyperlink ref="D43:K43" location="Ability3" display="Market appetite" xr:uid="{00000000-0004-0000-0600-000000000000}"/>
    <hyperlink ref="D32:AB32" location="Ability1" display="Qualitative assessment of Value for Money" xr:uid="{00000000-0004-0000-0600-000001000000}"/>
    <hyperlink ref="D38:Z38" location="Ability1" display="Quantitative assessment of Value for Money" xr:uid="{00000000-0004-0000-0600-000002000000}"/>
    <hyperlink ref="D43:AB43" location="Ability2" display="Market appetite" xr:uid="{00000000-0004-0000-0600-000003000000}"/>
  </hyperlinks>
  <pageMargins left="0.7" right="0.7" top="0.75" bottom="0.75" header="0.3" footer="0.3"/>
  <pageSetup paperSize="9" scale="1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pageSetUpPr fitToPage="1"/>
  </sheetPr>
  <dimension ref="A1:BT66"/>
  <sheetViews>
    <sheetView topLeftCell="B1" zoomScale="80" zoomScaleNormal="80" workbookViewId="0">
      <selection activeCell="B1" sqref="B1"/>
    </sheetView>
  </sheetViews>
  <sheetFormatPr defaultColWidth="9.21875" defaultRowHeight="14.4" x14ac:dyDescent="0.3"/>
  <cols>
    <col min="1" max="1" width="3.44140625" style="12" hidden="1" customWidth="1"/>
    <col min="2" max="2" width="4.44140625" style="12" customWidth="1"/>
    <col min="3" max="3" width="5.77734375" style="12" hidden="1" customWidth="1"/>
    <col min="4" max="4" width="4" style="47" customWidth="1"/>
    <col min="5" max="13" width="4" style="50" customWidth="1"/>
    <col min="14" max="29" width="9.21875" style="50" customWidth="1"/>
    <col min="30" max="30" width="1.44140625" style="12" customWidth="1"/>
    <col min="31" max="31" width="9.21875" style="47" customWidth="1"/>
    <col min="32" max="32" width="9.21875" style="12" customWidth="1"/>
    <col min="33" max="33" width="53.5546875" style="12" customWidth="1"/>
    <col min="34" max="34" width="13.21875" style="12" customWidth="1"/>
    <col min="35" max="35" width="1.44140625" style="12" customWidth="1"/>
    <col min="36" max="36" width="1.21875" style="12" customWidth="1"/>
    <col min="37" max="37" width="3.5546875" style="12" customWidth="1"/>
    <col min="38" max="38" width="3.44140625" style="12" customWidth="1"/>
    <col min="39" max="39" width="44.21875" style="12" customWidth="1"/>
    <col min="40" max="54" width="9.21875" style="12"/>
    <col min="55" max="55" width="60.5546875" style="12" customWidth="1"/>
    <col min="56" max="56" width="116.5546875" style="12" customWidth="1"/>
    <col min="57" max="16384" width="9.21875" style="12"/>
  </cols>
  <sheetData>
    <row r="1" spans="1:72" ht="27" customHeight="1" thickTop="1" x14ac:dyDescent="0.55000000000000004">
      <c r="A1" s="85"/>
      <c r="B1" s="85"/>
      <c r="C1" s="86"/>
      <c r="D1" s="86"/>
      <c r="E1" s="263" t="s">
        <v>826</v>
      </c>
      <c r="F1" s="263"/>
      <c r="G1" s="263"/>
      <c r="H1" s="263"/>
      <c r="I1" s="263"/>
      <c r="J1" s="263"/>
      <c r="K1" s="263"/>
      <c r="L1" s="263"/>
      <c r="M1" s="263"/>
      <c r="N1" s="263"/>
      <c r="O1" s="263"/>
      <c r="P1" s="263"/>
      <c r="Q1" s="263"/>
      <c r="R1" s="263"/>
      <c r="S1" s="263"/>
      <c r="T1" s="263"/>
      <c r="U1" s="263"/>
      <c r="V1" s="263"/>
      <c r="W1" s="263"/>
      <c r="X1" s="263"/>
      <c r="Y1" s="263"/>
      <c r="Z1" s="263"/>
      <c r="AA1" s="263"/>
      <c r="AB1" s="263"/>
      <c r="AC1" s="263"/>
      <c r="AD1" s="626"/>
      <c r="AE1" s="626"/>
      <c r="AF1" s="626"/>
      <c r="AG1" s="626"/>
      <c r="AH1" s="626"/>
      <c r="AI1" s="626"/>
      <c r="AJ1" s="38"/>
      <c r="AK1" s="13"/>
    </row>
    <row r="2" spans="1:72" s="13" customFormat="1" ht="15" customHeight="1" x14ac:dyDescent="0.3">
      <c r="A2" s="38"/>
      <c r="B2" s="38"/>
      <c r="C2" s="38"/>
      <c r="D2" s="38"/>
      <c r="E2" s="60"/>
      <c r="F2" s="60"/>
      <c r="G2" s="60"/>
      <c r="H2" s="60"/>
      <c r="I2" s="60"/>
      <c r="J2" s="60"/>
      <c r="K2" s="60"/>
      <c r="L2" s="60"/>
      <c r="M2" s="60"/>
      <c r="N2" s="60"/>
      <c r="O2" s="60"/>
      <c r="P2" s="60"/>
      <c r="Q2" s="60"/>
      <c r="R2" s="60"/>
      <c r="S2" s="60"/>
      <c r="T2" s="60"/>
      <c r="U2" s="60"/>
      <c r="V2" s="60"/>
      <c r="W2" s="60"/>
      <c r="X2" s="60"/>
      <c r="Y2" s="60"/>
      <c r="Z2" s="60"/>
      <c r="AA2" s="60"/>
      <c r="AB2" s="60"/>
      <c r="AC2" s="60"/>
      <c r="AD2" s="38"/>
      <c r="AE2" s="38"/>
      <c r="AF2" s="38"/>
      <c r="AG2" s="38"/>
      <c r="AH2" s="38"/>
      <c r="AI2" s="626"/>
      <c r="AJ2" s="38"/>
    </row>
    <row r="3" spans="1:72" ht="15.75" customHeight="1" thickBot="1" x14ac:dyDescent="0.35">
      <c r="A3" s="38"/>
      <c r="B3" s="38"/>
      <c r="C3" s="38"/>
      <c r="D3" s="38"/>
      <c r="E3" s="60"/>
      <c r="F3" s="60"/>
      <c r="G3" s="60"/>
      <c r="H3" s="60"/>
      <c r="I3" s="60"/>
      <c r="J3" s="60"/>
      <c r="K3" s="60"/>
      <c r="L3" s="60"/>
      <c r="M3" s="60"/>
      <c r="N3" s="60"/>
      <c r="O3" s="60"/>
      <c r="P3" s="60"/>
      <c r="Q3" s="60"/>
      <c r="R3" s="60"/>
      <c r="S3" s="60"/>
      <c r="T3" s="60"/>
      <c r="U3" s="60"/>
      <c r="V3" s="60"/>
      <c r="W3" s="60"/>
      <c r="X3" s="60"/>
      <c r="Y3" s="60"/>
      <c r="Z3" s="60"/>
      <c r="AA3" s="60"/>
      <c r="AB3" s="60"/>
      <c r="AC3" s="60"/>
      <c r="AD3" s="38"/>
      <c r="AE3" s="38"/>
      <c r="AF3" s="38"/>
      <c r="AG3" s="38"/>
      <c r="AH3" s="38"/>
      <c r="AI3" s="626"/>
      <c r="AJ3" s="38"/>
      <c r="AK3" s="13"/>
    </row>
    <row r="4" spans="1:72" ht="15" customHeight="1" x14ac:dyDescent="0.3">
      <c r="A4" s="38"/>
      <c r="B4" s="38"/>
      <c r="C4" s="45"/>
      <c r="D4" s="2235" t="s">
        <v>243</v>
      </c>
      <c r="E4" s="2236"/>
      <c r="F4" s="2236"/>
      <c r="G4" s="2236"/>
      <c r="H4" s="2236"/>
      <c r="I4" s="2236"/>
      <c r="J4" s="2236"/>
      <c r="K4" s="2236"/>
      <c r="L4" s="2236"/>
      <c r="M4" s="2236"/>
      <c r="N4" s="2236"/>
      <c r="O4" s="2236"/>
      <c r="P4" s="2236"/>
      <c r="Q4" s="2236"/>
      <c r="R4" s="2236"/>
      <c r="S4" s="2236"/>
      <c r="T4" s="2236"/>
      <c r="U4" s="2237"/>
      <c r="V4" s="60"/>
      <c r="W4" s="400"/>
      <c r="X4" s="401"/>
      <c r="Y4" s="401"/>
      <c r="Z4" s="401"/>
      <c r="AA4" s="401"/>
      <c r="AB4" s="401"/>
      <c r="AC4" s="402"/>
      <c r="AD4" s="47"/>
      <c r="AF4" s="2196" t="s">
        <v>67</v>
      </c>
      <c r="AG4" s="2186" t="s">
        <v>810</v>
      </c>
      <c r="AI4" s="626"/>
      <c r="AJ4" s="38"/>
      <c r="AK4" s="13"/>
    </row>
    <row r="5" spans="1:72" s="47" customFormat="1" ht="15" customHeight="1" x14ac:dyDescent="0.4">
      <c r="A5" s="38"/>
      <c r="B5" s="38"/>
      <c r="C5" s="45"/>
      <c r="D5" s="2276" t="s">
        <v>47</v>
      </c>
      <c r="E5" s="2277"/>
      <c r="F5" s="2277"/>
      <c r="G5" s="2277"/>
      <c r="H5" s="2277"/>
      <c r="I5" s="2277"/>
      <c r="J5" s="2277"/>
      <c r="K5" s="2277"/>
      <c r="L5" s="2277"/>
      <c r="M5" s="2277"/>
      <c r="N5" s="1304"/>
      <c r="O5" s="2277" t="s">
        <v>0</v>
      </c>
      <c r="P5" s="2277"/>
      <c r="Q5" s="2277"/>
      <c r="R5" s="2277"/>
      <c r="S5" s="2277"/>
      <c r="T5" s="2277"/>
      <c r="U5" s="2278"/>
      <c r="V5" s="60"/>
      <c r="W5" s="2193" t="s">
        <v>194</v>
      </c>
      <c r="X5" s="2194"/>
      <c r="Y5" s="2194"/>
      <c r="Z5" s="2194"/>
      <c r="AA5" s="2194"/>
      <c r="AB5" s="2194"/>
      <c r="AC5" s="2195"/>
      <c r="AF5" s="2196"/>
      <c r="AG5" s="2186"/>
      <c r="AI5" s="626"/>
      <c r="AJ5" s="38"/>
      <c r="AK5" s="13"/>
    </row>
    <row r="6" spans="1:72" ht="40.049999999999997" customHeight="1" x14ac:dyDescent="0.3">
      <c r="A6" s="38"/>
      <c r="B6" s="38"/>
      <c r="C6" s="45"/>
      <c r="D6" s="14"/>
      <c r="E6" s="45"/>
      <c r="F6" s="45"/>
      <c r="G6" s="45"/>
      <c r="H6" s="108"/>
      <c r="I6" s="108"/>
      <c r="J6" s="426"/>
      <c r="K6" s="426"/>
      <c r="L6" s="426"/>
      <c r="M6" s="426"/>
      <c r="N6" s="426"/>
      <c r="O6" s="426"/>
      <c r="P6" s="426"/>
      <c r="Q6" s="426"/>
      <c r="R6" s="61"/>
      <c r="S6" s="61"/>
      <c r="T6" s="61"/>
      <c r="U6" s="62"/>
      <c r="V6" s="60"/>
      <c r="W6" s="2199" t="s">
        <v>41</v>
      </c>
      <c r="X6" s="2197" t="str">
        <f>Dashboard!P80</f>
        <v>The fiscal commitments are within acceptable budget ceilings and their collective impact is fiscally manageable by the government.</v>
      </c>
      <c r="Y6" s="2197"/>
      <c r="Z6" s="2197"/>
      <c r="AA6" s="2197"/>
      <c r="AB6" s="2197"/>
      <c r="AC6" s="2198"/>
      <c r="AD6" s="47"/>
      <c r="AF6" s="2196"/>
      <c r="AG6" s="2186" t="s">
        <v>430</v>
      </c>
      <c r="AI6" s="625"/>
      <c r="AJ6" s="13"/>
      <c r="AK6" s="13"/>
    </row>
    <row r="7" spans="1:72" ht="15.75" customHeight="1" x14ac:dyDescent="0.3">
      <c r="A7" s="38"/>
      <c r="B7" s="55"/>
      <c r="C7" s="52"/>
      <c r="D7" s="14"/>
      <c r="E7" s="52"/>
      <c r="F7" s="52"/>
      <c r="G7" s="52"/>
      <c r="H7" s="108"/>
      <c r="I7" s="108"/>
      <c r="J7" s="426"/>
      <c r="K7" s="426"/>
      <c r="L7" s="426"/>
      <c r="M7" s="426"/>
      <c r="N7" s="426"/>
      <c r="O7" s="426"/>
      <c r="P7" s="426"/>
      <c r="Q7" s="426"/>
      <c r="R7" s="66"/>
      <c r="S7" s="66"/>
      <c r="T7" s="66"/>
      <c r="U7" s="82"/>
      <c r="V7" s="60"/>
      <c r="W7" s="2199"/>
      <c r="X7" s="2197"/>
      <c r="Y7" s="2197"/>
      <c r="Z7" s="2197"/>
      <c r="AA7" s="2197"/>
      <c r="AB7" s="2197"/>
      <c r="AC7" s="2198"/>
      <c r="AD7" s="47"/>
      <c r="AF7" s="2196"/>
      <c r="AG7" s="2186"/>
      <c r="AI7" s="625"/>
      <c r="AJ7" s="13"/>
      <c r="AK7" s="13"/>
    </row>
    <row r="8" spans="1:72" ht="15.75" customHeight="1" x14ac:dyDescent="0.3">
      <c r="A8" s="38"/>
      <c r="B8" s="55"/>
      <c r="C8" s="52"/>
      <c r="D8" s="92">
        <v>0</v>
      </c>
      <c r="E8" s="76">
        <f>D8+0.5</f>
        <v>0.5</v>
      </c>
      <c r="F8" s="76">
        <f t="shared" ref="F8:N8" si="0">E8+0.5</f>
        <v>1</v>
      </c>
      <c r="G8" s="76">
        <f t="shared" si="0"/>
        <v>1.5</v>
      </c>
      <c r="H8" s="76">
        <f t="shared" si="0"/>
        <v>2</v>
      </c>
      <c r="I8" s="76">
        <f t="shared" si="0"/>
        <v>2.5</v>
      </c>
      <c r="J8" s="76">
        <f t="shared" si="0"/>
        <v>3</v>
      </c>
      <c r="K8" s="76">
        <f t="shared" si="0"/>
        <v>3.5</v>
      </c>
      <c r="L8" s="76">
        <f t="shared" si="0"/>
        <v>4</v>
      </c>
      <c r="M8" s="76">
        <f t="shared" si="0"/>
        <v>4.5</v>
      </c>
      <c r="N8" s="76">
        <f t="shared" si="0"/>
        <v>5</v>
      </c>
      <c r="O8" s="76"/>
      <c r="P8" s="212"/>
      <c r="Q8" s="212"/>
      <c r="R8" s="75"/>
      <c r="S8" s="66"/>
      <c r="T8" s="66"/>
      <c r="U8" s="82"/>
      <c r="V8" s="60"/>
      <c r="W8" s="2199"/>
      <c r="X8" s="2197"/>
      <c r="Y8" s="2197"/>
      <c r="Z8" s="2197"/>
      <c r="AA8" s="2197"/>
      <c r="AB8" s="2197"/>
      <c r="AC8" s="2198"/>
      <c r="AD8" s="47"/>
      <c r="AF8" s="2196"/>
      <c r="AG8" s="2186" t="s">
        <v>548</v>
      </c>
      <c r="AI8" s="625"/>
      <c r="AJ8" s="13"/>
      <c r="AK8" s="13"/>
    </row>
    <row r="9" spans="1:72" ht="18.75" customHeight="1" x14ac:dyDescent="0.3">
      <c r="A9" s="38"/>
      <c r="B9" s="55"/>
      <c r="C9" s="52"/>
      <c r="D9" s="436" t="s">
        <v>80</v>
      </c>
      <c r="E9" s="252"/>
      <c r="F9" s="435"/>
      <c r="G9" s="435"/>
      <c r="H9" s="435"/>
      <c r="I9" s="435"/>
      <c r="J9" s="435"/>
      <c r="K9" s="435"/>
      <c r="L9" s="435"/>
      <c r="M9" s="435"/>
      <c r="N9" s="435"/>
      <c r="O9" s="435"/>
      <c r="P9" s="435"/>
      <c r="Q9" s="426"/>
      <c r="R9" s="66"/>
      <c r="S9" s="66"/>
      <c r="T9" s="66"/>
      <c r="U9" s="82"/>
      <c r="V9" s="60"/>
      <c r="W9" s="2199"/>
      <c r="X9" s="2197"/>
      <c r="Y9" s="2197"/>
      <c r="Z9" s="2197"/>
      <c r="AA9" s="2197"/>
      <c r="AB9" s="2197"/>
      <c r="AC9" s="2198"/>
      <c r="AD9" s="47"/>
      <c r="AF9" s="2196"/>
      <c r="AG9" s="2186"/>
      <c r="AI9" s="625"/>
      <c r="AJ9" s="13"/>
      <c r="AK9" s="13"/>
    </row>
    <row r="10" spans="1:72" x14ac:dyDescent="0.3">
      <c r="A10" s="38"/>
      <c r="B10" s="259">
        <f>Admin!J29</f>
        <v>5</v>
      </c>
      <c r="C10" s="52"/>
      <c r="D10" s="1119" t="str">
        <f>IF(AND($B$10&gt;=D8,$B$10&lt;E8),"↓","")</f>
        <v/>
      </c>
      <c r="E10" s="1110" t="str">
        <f t="shared" ref="E10:L10" si="1">IF(AND($B$10&gt;=E8,$B$10&lt;F8),"↓","")</f>
        <v/>
      </c>
      <c r="F10" s="1110" t="str">
        <f t="shared" si="1"/>
        <v/>
      </c>
      <c r="G10" s="1110" t="str">
        <f t="shared" si="1"/>
        <v/>
      </c>
      <c r="H10" s="1110" t="str">
        <f t="shared" si="1"/>
        <v/>
      </c>
      <c r="I10" s="1110" t="str">
        <f t="shared" si="1"/>
        <v/>
      </c>
      <c r="J10" s="1110" t="str">
        <f t="shared" si="1"/>
        <v/>
      </c>
      <c r="K10" s="1110" t="str">
        <f t="shared" si="1"/>
        <v/>
      </c>
      <c r="L10" s="1110" t="str">
        <f t="shared" si="1"/>
        <v/>
      </c>
      <c r="M10" s="1110" t="str">
        <f>IF(AND($B$10&gt;=M8,$B$10&lt;=N8),"↓","")</f>
        <v>↓</v>
      </c>
      <c r="N10" s="1110" t="str">
        <f t="shared" ref="N10" si="2">IF(AND($B$10&gt;=N8,$B$10&lt;O8),"↓","")</f>
        <v/>
      </c>
      <c r="O10" s="1125" t="str">
        <f>IF(AND($B$10&gt;=O8,$B$10&lt;=P8),"↓","")</f>
        <v/>
      </c>
      <c r="P10" s="426"/>
      <c r="Q10" s="426"/>
      <c r="R10" s="66"/>
      <c r="S10" s="66"/>
      <c r="T10" s="66"/>
      <c r="U10" s="82"/>
      <c r="V10" s="60"/>
      <c r="W10" s="2199"/>
      <c r="X10" s="2197"/>
      <c r="Y10" s="2197"/>
      <c r="Z10" s="2197"/>
      <c r="AA10" s="2197"/>
      <c r="AB10" s="2197"/>
      <c r="AC10" s="2198"/>
      <c r="AD10" s="47"/>
      <c r="AF10" s="2196"/>
      <c r="AG10" s="2186"/>
      <c r="AI10" s="625"/>
      <c r="AJ10" s="13"/>
      <c r="AK10" s="13"/>
    </row>
    <row r="11" spans="1:72" ht="15" customHeight="1" x14ac:dyDescent="0.3">
      <c r="A11" s="38"/>
      <c r="B11" s="260"/>
      <c r="C11" s="52"/>
      <c r="D11" s="74"/>
      <c r="E11" s="52"/>
      <c r="F11" s="52"/>
      <c r="G11" s="52"/>
      <c r="H11" s="426"/>
      <c r="I11" s="426"/>
      <c r="J11" s="426"/>
      <c r="K11" s="426"/>
      <c r="L11" s="426"/>
      <c r="M11" s="426"/>
      <c r="N11" s="426"/>
      <c r="O11" s="415"/>
      <c r="P11" s="426"/>
      <c r="Q11" s="426"/>
      <c r="R11" s="66"/>
      <c r="S11" s="66"/>
      <c r="T11" s="66"/>
      <c r="U11" s="82"/>
      <c r="V11" s="60"/>
      <c r="W11" s="2199"/>
      <c r="X11" s="2197"/>
      <c r="Y11" s="2197"/>
      <c r="Z11" s="2197"/>
      <c r="AA11" s="2197"/>
      <c r="AB11" s="2197"/>
      <c r="AC11" s="2198"/>
      <c r="AD11" s="47"/>
      <c r="AF11" s="2196"/>
      <c r="AG11" s="2186" t="s">
        <v>819</v>
      </c>
      <c r="AI11" s="625"/>
      <c r="AJ11" s="13"/>
      <c r="AK11" s="13"/>
    </row>
    <row r="12" spans="1:72" ht="15.75" customHeight="1" x14ac:dyDescent="0.3">
      <c r="A12" s="38"/>
      <c r="B12" s="260"/>
      <c r="C12" s="52"/>
      <c r="D12" s="74" t="s">
        <v>84</v>
      </c>
      <c r="E12" s="252"/>
      <c r="F12" s="94"/>
      <c r="G12" s="94"/>
      <c r="H12" s="95"/>
      <c r="I12" s="95"/>
      <c r="J12" s="95"/>
      <c r="K12" s="95"/>
      <c r="L12" s="95"/>
      <c r="M12" s="95"/>
      <c r="N12" s="95"/>
      <c r="O12" s="415"/>
      <c r="P12" s="426"/>
      <c r="Q12" s="426"/>
      <c r="R12" s="66"/>
      <c r="S12" s="66"/>
      <c r="T12" s="66"/>
      <c r="U12" s="82"/>
      <c r="V12" s="60"/>
      <c r="W12" s="2190" t="str">
        <f>Dashboard!W50</f>
        <v>Identified areas to address</v>
      </c>
      <c r="X12" s="2191"/>
      <c r="Y12" s="2191"/>
      <c r="Z12" s="2191"/>
      <c r="AA12" s="2191"/>
      <c r="AB12" s="2191"/>
      <c r="AC12" s="2192"/>
      <c r="AD12" s="47"/>
      <c r="AF12" s="2196"/>
      <c r="AG12" s="2186"/>
      <c r="AI12" s="625"/>
      <c r="AJ12" s="13"/>
      <c r="AK12" s="13"/>
      <c r="BS12" s="54" t="s">
        <v>222</v>
      </c>
      <c r="BT12" s="54">
        <f>'Data Analysis'!$AB$442</f>
        <v>151.05599999999998</v>
      </c>
    </row>
    <row r="13" spans="1:72" x14ac:dyDescent="0.3">
      <c r="A13" s="38"/>
      <c r="B13" s="1124">
        <f>Admin!J30</f>
        <v>3.66</v>
      </c>
      <c r="C13" s="1110"/>
      <c r="D13" s="1119" t="str">
        <f>IF(AND($B$13&gt;=D8,$B$13&lt;E8),"↓","")</f>
        <v/>
      </c>
      <c r="E13" s="1110" t="str">
        <f t="shared" ref="E13:L13" si="3">IF(AND($B$13&gt;=E8,$B$13&lt;F8),"↓","")</f>
        <v/>
      </c>
      <c r="F13" s="1110" t="str">
        <f t="shared" si="3"/>
        <v/>
      </c>
      <c r="G13" s="1110" t="str">
        <f t="shared" si="3"/>
        <v/>
      </c>
      <c r="H13" s="1110" t="str">
        <f t="shared" si="3"/>
        <v/>
      </c>
      <c r="I13" s="1110" t="str">
        <f t="shared" si="3"/>
        <v/>
      </c>
      <c r="J13" s="1110" t="str">
        <f t="shared" si="3"/>
        <v/>
      </c>
      <c r="K13" s="1110" t="str">
        <f t="shared" si="3"/>
        <v>↓</v>
      </c>
      <c r="L13" s="1110" t="str">
        <f t="shared" si="3"/>
        <v/>
      </c>
      <c r="M13" s="1110" t="str">
        <f>IF(AND($B$13&gt;=M8,$B$13&lt;=N8),"↓","")</f>
        <v/>
      </c>
      <c r="N13" s="52" t="str">
        <f t="shared" ref="N13" si="4">IF(AND($B$13&gt;=N8,$B$13&lt;O8),"↓","")</f>
        <v/>
      </c>
      <c r="O13" s="76" t="str">
        <f>IF(AND($B$13&gt;=O8,$B$13&lt;=P8),"↓","")</f>
        <v/>
      </c>
      <c r="P13" s="52" t="str">
        <f t="shared" ref="P13:Q13" si="5">IF(AND($B$22&gt;N8,$B$22&lt;=O8),"↓","")</f>
        <v/>
      </c>
      <c r="Q13" s="52" t="str">
        <f t="shared" si="5"/>
        <v/>
      </c>
      <c r="R13" s="66"/>
      <c r="S13" s="66"/>
      <c r="T13" s="66"/>
      <c r="U13" s="82"/>
      <c r="V13" s="60"/>
      <c r="W13" s="2199" t="s">
        <v>41</v>
      </c>
      <c r="X13" s="2197" t="str">
        <f>Dashboard!W80</f>
        <v xml:space="preserve">   .</v>
      </c>
      <c r="Y13" s="2197"/>
      <c r="Z13" s="2197"/>
      <c r="AA13" s="2197"/>
      <c r="AB13" s="2197"/>
      <c r="AC13" s="2198"/>
      <c r="AD13" s="47"/>
      <c r="AF13" s="2196"/>
      <c r="AG13" s="2186"/>
      <c r="AI13" s="625"/>
      <c r="AJ13" s="13"/>
      <c r="AK13" s="13"/>
      <c r="BS13" s="54" t="s">
        <v>10</v>
      </c>
      <c r="BT13" s="54">
        <v>1</v>
      </c>
    </row>
    <row r="14" spans="1:72" ht="15" customHeight="1" x14ac:dyDescent="0.3">
      <c r="A14" s="38"/>
      <c r="B14" s="55"/>
      <c r="C14" s="52"/>
      <c r="D14" s="74"/>
      <c r="E14" s="52"/>
      <c r="F14" s="52"/>
      <c r="G14" s="52"/>
      <c r="H14" s="426"/>
      <c r="I14" s="426"/>
      <c r="J14" s="426"/>
      <c r="K14" s="426"/>
      <c r="L14" s="426"/>
      <c r="M14" s="426"/>
      <c r="N14" s="426"/>
      <c r="O14" s="426"/>
      <c r="P14" s="426"/>
      <c r="Q14" s="426"/>
      <c r="R14" s="66"/>
      <c r="S14" s="66"/>
      <c r="T14" s="66"/>
      <c r="U14" s="82"/>
      <c r="V14" s="60"/>
      <c r="W14" s="2199"/>
      <c r="X14" s="2197"/>
      <c r="Y14" s="2197"/>
      <c r="Z14" s="2197"/>
      <c r="AA14" s="2197"/>
      <c r="AB14" s="2197"/>
      <c r="AC14" s="2198"/>
      <c r="AD14" s="47"/>
      <c r="AI14" s="625"/>
      <c r="AJ14" s="13"/>
      <c r="AK14" s="13"/>
      <c r="BS14" s="54" t="s">
        <v>11</v>
      </c>
      <c r="BT14" s="54">
        <f>360-BT12-BT13</f>
        <v>207.94400000000002</v>
      </c>
    </row>
    <row r="15" spans="1:72" s="47" customFormat="1" ht="32.25" customHeight="1" x14ac:dyDescent="0.3">
      <c r="A15" s="38"/>
      <c r="B15" s="55"/>
      <c r="C15" s="52"/>
      <c r="D15" s="74"/>
      <c r="E15" s="52"/>
      <c r="F15" s="52"/>
      <c r="G15" s="52"/>
      <c r="H15" s="426"/>
      <c r="I15" s="426"/>
      <c r="J15" s="426"/>
      <c r="K15" s="426"/>
      <c r="L15" s="426"/>
      <c r="M15" s="426"/>
      <c r="N15" s="426"/>
      <c r="O15" s="426"/>
      <c r="P15" s="2320" t="str">
        <f>'Data Analysis'!F457</f>
        <v>Strong</v>
      </c>
      <c r="Q15" s="2320"/>
      <c r="R15" s="2320"/>
      <c r="S15" s="1263"/>
      <c r="T15" s="1262">
        <f>'Data Analysis'!E457</f>
        <v>4.1959999999999997</v>
      </c>
      <c r="U15" s="82"/>
      <c r="V15" s="60"/>
      <c r="W15" s="2199"/>
      <c r="X15" s="2197"/>
      <c r="Y15" s="2197"/>
      <c r="Z15" s="2197"/>
      <c r="AA15" s="2197"/>
      <c r="AB15" s="2197"/>
      <c r="AC15" s="2198"/>
      <c r="AI15" s="625"/>
      <c r="AJ15" s="13"/>
      <c r="AK15" s="13"/>
      <c r="BS15" s="54"/>
      <c r="BT15" s="54"/>
    </row>
    <row r="16" spans="1:72" s="47" customFormat="1" ht="15" customHeight="1" x14ac:dyDescent="0.3">
      <c r="A16" s="38"/>
      <c r="B16" s="55"/>
      <c r="C16" s="52"/>
      <c r="D16" s="74"/>
      <c r="E16" s="52"/>
      <c r="F16" s="52"/>
      <c r="G16" s="52"/>
      <c r="H16" s="426"/>
      <c r="I16" s="426"/>
      <c r="J16" s="426"/>
      <c r="K16" s="426"/>
      <c r="L16" s="426"/>
      <c r="M16" s="426"/>
      <c r="N16" s="426"/>
      <c r="O16" s="426"/>
      <c r="P16" s="426"/>
      <c r="Q16" s="426"/>
      <c r="R16" s="66"/>
      <c r="S16" s="66"/>
      <c r="T16" s="66"/>
      <c r="U16" s="82"/>
      <c r="V16" s="60"/>
      <c r="W16" s="2187" t="s">
        <v>302</v>
      </c>
      <c r="X16" s="2188"/>
      <c r="Y16" s="2188"/>
      <c r="Z16" s="2188"/>
      <c r="AA16" s="2188"/>
      <c r="AB16" s="2188"/>
      <c r="AC16" s="2189"/>
      <c r="AI16" s="625"/>
      <c r="AJ16" s="13"/>
      <c r="AK16" s="13"/>
      <c r="BS16" s="54"/>
      <c r="BT16" s="54"/>
    </row>
    <row r="17" spans="1:72" s="47" customFormat="1" ht="15.75" customHeight="1" x14ac:dyDescent="0.35">
      <c r="A17" s="38"/>
      <c r="B17" s="55"/>
      <c r="C17" s="52"/>
      <c r="D17" s="74"/>
      <c r="E17" s="52"/>
      <c r="F17" s="52"/>
      <c r="G17" s="52"/>
      <c r="H17" s="426"/>
      <c r="I17" s="426"/>
      <c r="J17" s="426"/>
      <c r="K17" s="426"/>
      <c r="L17" s="426"/>
      <c r="M17" s="426"/>
      <c r="N17" s="426"/>
      <c r="O17" s="1021"/>
      <c r="P17" s="1038"/>
      <c r="Q17" s="1038"/>
      <c r="R17" s="1038"/>
      <c r="S17" s="1038"/>
      <c r="T17" s="1038"/>
      <c r="U17" s="82"/>
      <c r="V17" s="60"/>
      <c r="W17" s="92"/>
      <c r="X17" s="267" t="s">
        <v>274</v>
      </c>
      <c r="Y17" s="314"/>
      <c r="Z17" s="314"/>
      <c r="AA17" s="314"/>
      <c r="AB17" s="316"/>
      <c r="AC17" s="406">
        <f>Dashboard!O81</f>
        <v>0</v>
      </c>
      <c r="AI17" s="625"/>
      <c r="AJ17" s="13"/>
      <c r="AK17" s="13"/>
      <c r="BE17" s="38"/>
      <c r="BF17" s="38"/>
      <c r="BG17" s="38"/>
      <c r="BH17" s="38"/>
      <c r="BS17" s="54"/>
      <c r="BT17" s="54"/>
    </row>
    <row r="18" spans="1:72" s="47" customFormat="1" ht="15" customHeight="1" x14ac:dyDescent="0.3">
      <c r="A18" s="38"/>
      <c r="B18" s="261"/>
      <c r="C18" s="52"/>
      <c r="D18" s="74"/>
      <c r="E18" s="52"/>
      <c r="F18" s="52"/>
      <c r="G18" s="52"/>
      <c r="H18" s="426"/>
      <c r="I18" s="426"/>
      <c r="J18" s="426"/>
      <c r="K18" s="426"/>
      <c r="L18" s="426"/>
      <c r="M18" s="426"/>
      <c r="N18" s="426"/>
      <c r="O18" s="1021"/>
      <c r="P18" s="66"/>
      <c r="Q18" s="66"/>
      <c r="R18" s="66"/>
      <c r="S18" s="66"/>
      <c r="T18" s="66"/>
      <c r="U18" s="82"/>
      <c r="V18" s="60"/>
      <c r="W18" s="246"/>
      <c r="X18" s="267" t="s">
        <v>275</v>
      </c>
      <c r="Y18" s="314"/>
      <c r="Z18" s="314"/>
      <c r="AA18" s="314"/>
      <c r="AB18" s="316"/>
      <c r="AC18" s="406">
        <f>Dashboard!O82</f>
        <v>0</v>
      </c>
      <c r="AD18" s="13"/>
      <c r="AE18" s="13"/>
      <c r="AF18" s="13"/>
      <c r="AG18" s="13"/>
      <c r="AH18" s="13"/>
      <c r="AI18" s="625"/>
      <c r="AJ18" s="13"/>
      <c r="AK18" s="13"/>
      <c r="BE18" s="38"/>
      <c r="BF18" s="38"/>
      <c r="BG18" s="38"/>
      <c r="BH18" s="38"/>
      <c r="BS18" s="54"/>
      <c r="BT18" s="54"/>
    </row>
    <row r="19" spans="1:72" s="47" customFormat="1" ht="15" customHeight="1" x14ac:dyDescent="0.3">
      <c r="A19" s="38"/>
      <c r="B19" s="262"/>
      <c r="C19" s="52"/>
      <c r="D19" s="74"/>
      <c r="E19" s="52"/>
      <c r="F19" s="52"/>
      <c r="G19" s="52"/>
      <c r="H19" s="426"/>
      <c r="I19" s="426"/>
      <c r="J19" s="426"/>
      <c r="K19" s="426"/>
      <c r="L19" s="426"/>
      <c r="M19" s="426"/>
      <c r="N19" s="426"/>
      <c r="O19" s="426"/>
      <c r="P19" s="2179" t="str">
        <f>IF(AND('Data Analysis'!D260=TRUE,'Data Analysis'!G260=1),"WARNING! 
Potential Deal Breaker Triggered","")</f>
        <v/>
      </c>
      <c r="Q19" s="2179"/>
      <c r="R19" s="2179"/>
      <c r="S19" s="2179"/>
      <c r="T19" s="2179"/>
      <c r="U19" s="82"/>
      <c r="V19" s="60"/>
      <c r="W19" s="246"/>
      <c r="X19" s="267" t="s">
        <v>472</v>
      </c>
      <c r="Y19" s="314"/>
      <c r="Z19" s="314"/>
      <c r="AA19" s="315"/>
      <c r="AB19" s="182"/>
      <c r="AC19" s="1838">
        <f>'Data Analysis'!S267</f>
        <v>0</v>
      </c>
      <c r="AD19" s="13"/>
      <c r="AE19" s="13"/>
      <c r="AF19" s="13"/>
      <c r="AG19" s="13"/>
      <c r="AH19" s="13"/>
      <c r="AI19" s="625"/>
      <c r="AJ19" s="13"/>
      <c r="AK19" s="13"/>
      <c r="BE19" s="38"/>
      <c r="BF19" s="38"/>
      <c r="BG19" s="38"/>
      <c r="BH19" s="38"/>
      <c r="BS19" s="54"/>
      <c r="BT19" s="54"/>
    </row>
    <row r="20" spans="1:72" s="47" customFormat="1" ht="15" customHeight="1" x14ac:dyDescent="0.3">
      <c r="A20" s="38"/>
      <c r="B20" s="261"/>
      <c r="C20" s="52"/>
      <c r="D20" s="74"/>
      <c r="E20" s="52"/>
      <c r="F20" s="52"/>
      <c r="G20" s="52"/>
      <c r="H20" s="426"/>
      <c r="I20" s="426"/>
      <c r="J20" s="426"/>
      <c r="K20" s="426"/>
      <c r="L20" s="426"/>
      <c r="M20" s="426"/>
      <c r="N20" s="426"/>
      <c r="O20" s="426"/>
      <c r="P20" s="2179"/>
      <c r="Q20" s="2179"/>
      <c r="R20" s="2179"/>
      <c r="S20" s="2179"/>
      <c r="T20" s="2179"/>
      <c r="U20" s="82"/>
      <c r="V20" s="60"/>
      <c r="W20" s="246"/>
      <c r="X20" s="267" t="s">
        <v>485</v>
      </c>
      <c r="Y20" s="314"/>
      <c r="Z20" s="314"/>
      <c r="AA20" s="315"/>
      <c r="AB20" s="182"/>
      <c r="AC20" s="1838">
        <f>'Data Analysis'!S269</f>
        <v>0</v>
      </c>
      <c r="AD20" s="13"/>
      <c r="AE20" s="13"/>
      <c r="AF20" s="13"/>
      <c r="AG20" s="13"/>
      <c r="AH20" s="13"/>
      <c r="AI20" s="625"/>
      <c r="AJ20" s="13"/>
      <c r="AK20" s="13"/>
      <c r="BE20" s="38"/>
      <c r="BF20" s="38"/>
      <c r="BG20" s="38"/>
      <c r="BH20" s="38"/>
      <c r="BS20" s="54"/>
      <c r="BT20" s="54"/>
    </row>
    <row r="21" spans="1:72" s="47" customFormat="1" ht="15" customHeight="1" thickBot="1" x14ac:dyDescent="0.35">
      <c r="A21" s="38"/>
      <c r="B21" s="261"/>
      <c r="C21" s="52"/>
      <c r="D21" s="83"/>
      <c r="E21" s="81"/>
      <c r="F21" s="81"/>
      <c r="G21" s="81"/>
      <c r="H21" s="81"/>
      <c r="I21" s="81"/>
      <c r="J21" s="81"/>
      <c r="K21" s="81"/>
      <c r="L21" s="81"/>
      <c r="M21" s="81"/>
      <c r="N21" s="81"/>
      <c r="O21" s="81"/>
      <c r="P21" s="81"/>
      <c r="Q21" s="81"/>
      <c r="R21" s="81"/>
      <c r="S21" s="81"/>
      <c r="T21" s="81"/>
      <c r="U21" s="84"/>
      <c r="V21" s="60"/>
      <c r="W21" s="268"/>
      <c r="X21" s="1842" t="s">
        <v>486</v>
      </c>
      <c r="Y21" s="1843"/>
      <c r="Z21" s="1843"/>
      <c r="AA21" s="1844"/>
      <c r="AB21" s="404"/>
      <c r="AC21" s="1845">
        <f>'Data Analysis'!S268</f>
        <v>0</v>
      </c>
      <c r="AD21" s="13"/>
      <c r="AE21" s="13"/>
      <c r="AF21" s="13"/>
      <c r="AG21" s="13"/>
      <c r="AH21" s="13"/>
      <c r="AI21" s="625"/>
      <c r="AJ21" s="13"/>
      <c r="AK21" s="13"/>
      <c r="BE21" s="38"/>
      <c r="BF21" s="38"/>
      <c r="BG21" s="38"/>
      <c r="BH21" s="38"/>
      <c r="BS21" s="54"/>
      <c r="BT21" s="54"/>
    </row>
    <row r="22" spans="1:72" s="47" customFormat="1" ht="15" customHeight="1" x14ac:dyDescent="0.3">
      <c r="A22" s="38"/>
      <c r="B22" s="262"/>
      <c r="C22" s="52"/>
      <c r="D22" s="51"/>
      <c r="E22" s="51"/>
      <c r="F22" s="51"/>
      <c r="G22" s="51"/>
      <c r="H22" s="51"/>
      <c r="I22" s="51"/>
      <c r="J22" s="51"/>
      <c r="K22" s="51"/>
      <c r="L22" s="51"/>
      <c r="M22" s="51"/>
      <c r="N22" s="51"/>
      <c r="O22" s="51"/>
      <c r="P22" s="51"/>
      <c r="Q22" s="51"/>
      <c r="R22" s="51"/>
      <c r="S22" s="51"/>
      <c r="T22" s="51"/>
      <c r="U22" s="68"/>
      <c r="V22" s="60"/>
      <c r="AD22" s="13"/>
      <c r="AE22" s="13"/>
      <c r="AF22" s="13"/>
      <c r="AG22" s="13"/>
      <c r="AH22" s="13"/>
      <c r="AI22" s="625"/>
      <c r="AJ22" s="13"/>
      <c r="AK22" s="13"/>
      <c r="BE22" s="38"/>
      <c r="BF22" s="38"/>
      <c r="BG22" s="38"/>
      <c r="BH22" s="38"/>
      <c r="BS22" s="54"/>
      <c r="BT22" s="54"/>
    </row>
    <row r="23" spans="1:72" s="47" customFormat="1" ht="15" hidden="1" customHeight="1" x14ac:dyDescent="0.3">
      <c r="A23" s="38"/>
      <c r="B23" s="55"/>
      <c r="C23" s="52"/>
      <c r="D23" s="55"/>
      <c r="E23" s="51"/>
      <c r="F23" s="51"/>
      <c r="G23" s="51"/>
      <c r="H23" s="51"/>
      <c r="I23" s="51"/>
      <c r="J23" s="51"/>
      <c r="K23" s="51"/>
      <c r="L23" s="51"/>
      <c r="M23" s="51"/>
      <c r="N23" s="51"/>
      <c r="O23" s="51"/>
      <c r="P23" s="51"/>
      <c r="Q23" s="51"/>
      <c r="R23" s="51"/>
      <c r="S23" s="51"/>
      <c r="T23" s="51"/>
      <c r="U23" s="68"/>
      <c r="V23" s="60"/>
      <c r="AD23" s="13"/>
      <c r="AE23" s="13"/>
      <c r="AF23" s="13"/>
      <c r="AG23" s="13"/>
      <c r="AH23" s="13"/>
      <c r="AI23" s="625"/>
      <c r="AJ23" s="13"/>
      <c r="AK23" s="13"/>
      <c r="BE23" s="38"/>
      <c r="BF23" s="38"/>
      <c r="BG23" s="38"/>
      <c r="BH23" s="38"/>
      <c r="BS23" s="54"/>
      <c r="BT23" s="54"/>
    </row>
    <row r="24" spans="1:72" s="47" customFormat="1" ht="15" hidden="1" customHeight="1" x14ac:dyDescent="0.3">
      <c r="A24" s="38"/>
      <c r="B24" s="38"/>
      <c r="C24" s="45"/>
      <c r="D24" s="55"/>
      <c r="E24" s="38"/>
      <c r="F24" s="38"/>
      <c r="G24" s="38"/>
      <c r="H24" s="73"/>
      <c r="I24" s="73"/>
      <c r="J24" s="73"/>
      <c r="K24" s="73"/>
      <c r="L24" s="73"/>
      <c r="M24" s="73"/>
      <c r="N24" s="73"/>
      <c r="O24" s="73"/>
      <c r="P24" s="73"/>
      <c r="Q24" s="73"/>
      <c r="R24" s="79"/>
      <c r="S24" s="79"/>
      <c r="T24" s="79"/>
      <c r="U24" s="79"/>
      <c r="V24" s="60"/>
      <c r="AD24" s="13"/>
      <c r="AE24" s="13"/>
      <c r="AF24" s="13"/>
      <c r="AG24" s="13"/>
      <c r="AH24" s="13"/>
      <c r="AI24" s="625"/>
      <c r="AJ24" s="13"/>
      <c r="AK24" s="13"/>
      <c r="BE24" s="38"/>
      <c r="BF24" s="38"/>
      <c r="BG24" s="38"/>
      <c r="BH24" s="38"/>
      <c r="BS24" s="54"/>
      <c r="BT24" s="54"/>
    </row>
    <row r="25" spans="1:72" s="47" customFormat="1" ht="15" hidden="1" customHeight="1" x14ac:dyDescent="0.3">
      <c r="A25" s="38"/>
      <c r="B25" s="38"/>
      <c r="C25" s="45"/>
      <c r="D25" s="55"/>
      <c r="E25" s="38"/>
      <c r="F25" s="38"/>
      <c r="G25" s="38"/>
      <c r="H25" s="73"/>
      <c r="I25" s="73"/>
      <c r="J25" s="73"/>
      <c r="K25" s="73"/>
      <c r="L25" s="73"/>
      <c r="M25" s="73"/>
      <c r="N25" s="73"/>
      <c r="O25" s="73"/>
      <c r="P25" s="73"/>
      <c r="Q25" s="73"/>
      <c r="R25" s="79"/>
      <c r="S25" s="79"/>
      <c r="T25" s="79"/>
      <c r="U25" s="79"/>
      <c r="V25" s="60"/>
      <c r="W25" s="79"/>
      <c r="X25" s="79"/>
      <c r="Y25" s="79"/>
      <c r="Z25" s="79"/>
      <c r="AA25" s="79"/>
      <c r="AB25" s="79"/>
      <c r="AC25" s="79"/>
      <c r="AD25" s="13"/>
      <c r="AE25" s="13"/>
      <c r="AF25" s="13"/>
      <c r="AG25" s="13"/>
      <c r="AH25" s="13"/>
      <c r="AI25" s="625"/>
      <c r="AJ25" s="13"/>
      <c r="AK25" s="13"/>
      <c r="BE25" s="38"/>
      <c r="BF25" s="38"/>
      <c r="BG25" s="38"/>
      <c r="BH25" s="38"/>
      <c r="BS25" s="54"/>
      <c r="BT25" s="54"/>
    </row>
    <row r="26" spans="1:72" s="47" customFormat="1" hidden="1" x14ac:dyDescent="0.3">
      <c r="A26" s="38"/>
      <c r="B26" s="38"/>
      <c r="C26" s="45"/>
      <c r="D26" s="38"/>
      <c r="E26" s="38"/>
      <c r="F26" s="38"/>
      <c r="G26" s="38"/>
      <c r="H26" s="73"/>
      <c r="I26" s="73"/>
      <c r="J26" s="73"/>
      <c r="K26" s="73"/>
      <c r="L26" s="73"/>
      <c r="M26" s="73"/>
      <c r="N26" s="73"/>
      <c r="O26" s="73"/>
      <c r="P26" s="73"/>
      <c r="Q26" s="73"/>
      <c r="R26" s="79"/>
      <c r="S26" s="79"/>
      <c r="T26" s="79"/>
      <c r="U26" s="79"/>
      <c r="V26" s="60"/>
      <c r="W26" s="79"/>
      <c r="X26" s="79"/>
      <c r="Y26" s="79"/>
      <c r="Z26" s="79"/>
      <c r="AA26" s="79"/>
      <c r="AB26" s="79"/>
      <c r="AC26" s="79"/>
      <c r="AD26" s="13"/>
      <c r="AE26" s="13"/>
      <c r="AF26" s="13"/>
      <c r="AG26" s="13"/>
      <c r="AH26" s="13"/>
      <c r="AI26" s="625"/>
      <c r="AJ26" s="13"/>
      <c r="AK26" s="13"/>
      <c r="BE26" s="38"/>
      <c r="BF26" s="38"/>
      <c r="BG26" s="38"/>
      <c r="BH26" s="38"/>
      <c r="BS26" s="54"/>
      <c r="BT26" s="54"/>
    </row>
    <row r="27" spans="1:72" s="47" customFormat="1" hidden="1" x14ac:dyDescent="0.3">
      <c r="A27" s="38"/>
      <c r="B27" s="38"/>
      <c r="C27" s="45"/>
      <c r="D27" s="38"/>
      <c r="E27" s="38"/>
      <c r="F27" s="38"/>
      <c r="G27" s="38"/>
      <c r="H27" s="73"/>
      <c r="I27" s="73"/>
      <c r="J27" s="73"/>
      <c r="K27" s="73"/>
      <c r="L27" s="73"/>
      <c r="M27" s="73"/>
      <c r="N27" s="73"/>
      <c r="O27" s="73"/>
      <c r="P27" s="73"/>
      <c r="Q27" s="73"/>
      <c r="R27" s="79"/>
      <c r="S27" s="79"/>
      <c r="T27" s="79"/>
      <c r="U27" s="79"/>
      <c r="V27" s="60"/>
      <c r="W27" s="79"/>
      <c r="X27" s="79"/>
      <c r="Y27" s="79"/>
      <c r="Z27" s="79"/>
      <c r="AA27" s="79"/>
      <c r="AB27" s="79"/>
      <c r="AC27" s="79"/>
      <c r="AD27" s="13"/>
      <c r="AE27" s="13"/>
      <c r="AF27" s="13"/>
      <c r="AG27" s="13"/>
      <c r="AH27" s="13"/>
      <c r="AI27" s="625"/>
      <c r="AJ27" s="13"/>
      <c r="AK27" s="13"/>
      <c r="BE27" s="38"/>
      <c r="BF27" s="38"/>
      <c r="BG27" s="38"/>
      <c r="BH27" s="38"/>
      <c r="BS27" s="54"/>
      <c r="BT27" s="54"/>
    </row>
    <row r="28" spans="1:72" s="47" customFormat="1" hidden="1" x14ac:dyDescent="0.3">
      <c r="A28" s="38"/>
      <c r="B28" s="38"/>
      <c r="C28" s="45"/>
      <c r="D28" s="38"/>
      <c r="E28" s="38"/>
      <c r="F28" s="38"/>
      <c r="G28" s="38"/>
      <c r="H28" s="73"/>
      <c r="I28" s="73"/>
      <c r="J28" s="73"/>
      <c r="K28" s="73"/>
      <c r="L28" s="73"/>
      <c r="M28" s="73"/>
      <c r="N28" s="73"/>
      <c r="O28" s="73"/>
      <c r="P28" s="73"/>
      <c r="Q28" s="73"/>
      <c r="R28" s="79"/>
      <c r="S28" s="79"/>
      <c r="T28" s="79"/>
      <c r="U28" s="79"/>
      <c r="V28" s="79"/>
      <c r="W28" s="79"/>
      <c r="X28" s="79"/>
      <c r="Y28" s="79"/>
      <c r="Z28" s="79"/>
      <c r="AA28" s="79"/>
      <c r="AB28" s="79"/>
      <c r="AC28" s="79"/>
      <c r="AD28" s="13"/>
      <c r="AE28" s="13"/>
      <c r="AF28" s="13"/>
      <c r="AG28" s="13"/>
      <c r="AH28" s="13"/>
      <c r="AI28" s="625"/>
      <c r="AJ28" s="13"/>
      <c r="AK28" s="13"/>
      <c r="BE28" s="38"/>
      <c r="BF28" s="38"/>
      <c r="BG28" s="38"/>
      <c r="BH28" s="38"/>
      <c r="BS28" s="54"/>
      <c r="BT28" s="54"/>
    </row>
    <row r="29" spans="1:72" s="13" customFormat="1" hidden="1" x14ac:dyDescent="0.3">
      <c r="A29" s="38"/>
      <c r="B29" s="38"/>
      <c r="C29" s="38"/>
      <c r="D29" s="38"/>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38"/>
      <c r="AE29" s="38"/>
      <c r="AF29" s="38"/>
      <c r="AG29" s="38"/>
      <c r="AH29" s="38"/>
      <c r="AI29" s="626"/>
      <c r="AJ29" s="38"/>
      <c r="BE29" s="38"/>
      <c r="BF29" s="38"/>
      <c r="BG29" s="38"/>
      <c r="BH29" s="38"/>
    </row>
    <row r="30" spans="1:72" x14ac:dyDescent="0.3">
      <c r="A30" s="36"/>
      <c r="B30" s="36"/>
      <c r="C30" s="36"/>
      <c r="D30" s="36"/>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36"/>
      <c r="AE30" s="36"/>
      <c r="AF30" s="36"/>
      <c r="AG30" s="36"/>
      <c r="AH30" s="36"/>
      <c r="AI30" s="1035"/>
      <c r="AJ30" s="36"/>
      <c r="BE30" s="38"/>
      <c r="BF30" s="38"/>
      <c r="BG30" s="38"/>
      <c r="BH30" s="38"/>
    </row>
    <row r="31" spans="1:72" ht="6" customHeight="1" x14ac:dyDescent="0.3">
      <c r="A31" s="36"/>
      <c r="B31" s="718"/>
      <c r="C31" s="718"/>
      <c r="D31" s="718"/>
      <c r="E31" s="719"/>
      <c r="F31" s="719"/>
      <c r="G31" s="719"/>
      <c r="H31" s="719"/>
      <c r="I31" s="719"/>
      <c r="J31" s="719"/>
      <c r="K31" s="719"/>
      <c r="L31" s="719"/>
      <c r="M31" s="719"/>
      <c r="N31" s="719"/>
      <c r="O31" s="719"/>
      <c r="P31" s="719"/>
      <c r="Q31" s="719"/>
      <c r="R31" s="719"/>
      <c r="S31" s="719"/>
      <c r="T31" s="719"/>
      <c r="U31" s="719"/>
      <c r="V31" s="719"/>
      <c r="W31" s="719"/>
      <c r="X31" s="719"/>
      <c r="Y31" s="719"/>
      <c r="Z31" s="719"/>
      <c r="AA31" s="2316"/>
      <c r="AB31" s="2316"/>
      <c r="AC31" s="2316"/>
      <c r="AD31" s="2316"/>
      <c r="AE31" s="2316"/>
      <c r="AF31" s="2316"/>
      <c r="AG31" s="1036"/>
      <c r="AH31" s="1036"/>
      <c r="AI31" s="1"/>
      <c r="BE31" s="38"/>
      <c r="BF31" s="38"/>
      <c r="BG31" s="38"/>
      <c r="BH31" s="38"/>
    </row>
    <row r="32" spans="1:72" ht="15.6" x14ac:dyDescent="0.3">
      <c r="A32" s="36"/>
      <c r="B32" s="567" t="s">
        <v>31</v>
      </c>
      <c r="C32" s="567"/>
      <c r="D32" s="567"/>
      <c r="E32" s="568" t="s">
        <v>91</v>
      </c>
      <c r="F32" s="567"/>
      <c r="G32" s="567"/>
      <c r="H32" s="567"/>
      <c r="I32" s="567"/>
      <c r="J32" s="567"/>
      <c r="K32" s="567"/>
      <c r="L32" s="567"/>
      <c r="M32" s="567"/>
      <c r="N32" s="567"/>
      <c r="O32" s="567"/>
      <c r="P32" s="567"/>
      <c r="Q32" s="567"/>
      <c r="R32" s="567"/>
      <c r="S32" s="567"/>
      <c r="T32" s="567"/>
      <c r="U32" s="567"/>
      <c r="V32" s="567"/>
      <c r="W32" s="567"/>
      <c r="X32" s="567"/>
      <c r="Y32" s="572"/>
      <c r="Z32" s="572"/>
      <c r="AA32" s="572"/>
      <c r="AB32" s="2298" t="s">
        <v>32</v>
      </c>
      <c r="AC32" s="2298"/>
      <c r="AD32" s="2268" t="s">
        <v>115</v>
      </c>
      <c r="AE32" s="2268"/>
      <c r="AF32" s="2268"/>
      <c r="AG32" s="2268"/>
      <c r="AH32" s="2268"/>
      <c r="AI32" s="1"/>
      <c r="BE32" s="38"/>
      <c r="BF32" s="38"/>
      <c r="BG32" s="38"/>
      <c r="BH32" s="38"/>
    </row>
    <row r="33" spans="1:60" ht="15.6" x14ac:dyDescent="0.3">
      <c r="A33" s="36"/>
      <c r="B33" s="720">
        <v>1</v>
      </c>
      <c r="C33" s="720"/>
      <c r="D33" s="720"/>
      <c r="E33" s="2171" t="s">
        <v>80</v>
      </c>
      <c r="F33" s="2171"/>
      <c r="G33" s="2171"/>
      <c r="H33" s="2171"/>
      <c r="I33" s="2171"/>
      <c r="J33" s="2171"/>
      <c r="K33" s="2171"/>
      <c r="L33" s="2171"/>
      <c r="M33" s="2171"/>
      <c r="N33" s="2171"/>
      <c r="O33" s="2171"/>
      <c r="P33" s="2171"/>
      <c r="Q33" s="2171"/>
      <c r="R33" s="2171"/>
      <c r="S33" s="2171"/>
      <c r="T33" s="2171"/>
      <c r="U33" s="2171"/>
      <c r="V33" s="2171"/>
      <c r="W33" s="2171"/>
      <c r="X33" s="2171"/>
      <c r="Y33" s="2171"/>
      <c r="Z33" s="2171"/>
      <c r="AA33" s="2171"/>
      <c r="AB33" s="2260" t="str">
        <f>IF(E34=0,"Not Applicable","")</f>
        <v/>
      </c>
      <c r="AC33" s="2260"/>
      <c r="AD33" s="2325"/>
      <c r="AE33" s="2325"/>
      <c r="AF33" s="2325"/>
      <c r="AG33" s="2325"/>
      <c r="AH33" s="2325"/>
      <c r="AI33" s="1"/>
      <c r="BE33" s="38"/>
      <c r="BF33" s="38"/>
      <c r="BG33" s="38"/>
      <c r="BH33" s="38"/>
    </row>
    <row r="34" spans="1:60" ht="18.75" customHeight="1" x14ac:dyDescent="0.3">
      <c r="A34" s="36"/>
      <c r="B34" s="721" t="s">
        <v>63</v>
      </c>
      <c r="C34" s="721" t="str">
        <f>Questions!C150</f>
        <v>FAA1</v>
      </c>
      <c r="D34" s="721"/>
      <c r="E34" s="2318" t="str">
        <f>VLOOKUP(C34,Questions!$C$3:$H$171,6,FALSE)</f>
        <v xml:space="preserve">Is there a clear rationale for government support that is consistent with applicable laws and government support policies?
</v>
      </c>
      <c r="F34" s="2318"/>
      <c r="G34" s="2318"/>
      <c r="H34" s="2318"/>
      <c r="I34" s="2318"/>
      <c r="J34" s="2318"/>
      <c r="K34" s="2318"/>
      <c r="L34" s="2318"/>
      <c r="M34" s="2318"/>
      <c r="N34" s="2318"/>
      <c r="O34" s="2318"/>
      <c r="P34" s="2318"/>
      <c r="Q34" s="2318"/>
      <c r="R34" s="2318"/>
      <c r="S34" s="2318"/>
      <c r="T34" s="2318"/>
      <c r="U34" s="2318"/>
      <c r="V34" s="2318"/>
      <c r="W34" s="2318"/>
      <c r="X34" s="2318"/>
      <c r="Y34" s="2318"/>
      <c r="Z34" s="2318"/>
      <c r="AA34" s="2318"/>
      <c r="AB34" s="2169" t="s">
        <v>34</v>
      </c>
      <c r="AC34" s="2169"/>
      <c r="AD34" s="2322"/>
      <c r="AE34" s="2322"/>
      <c r="AF34" s="2322"/>
      <c r="AG34" s="2322"/>
      <c r="AH34" s="2322"/>
      <c r="AI34" s="1"/>
      <c r="BE34" s="38"/>
      <c r="BF34" s="38"/>
      <c r="BG34" s="38"/>
      <c r="BH34" s="38"/>
    </row>
    <row r="35" spans="1:60" ht="28.5" customHeight="1" x14ac:dyDescent="0.3">
      <c r="A35" s="36"/>
      <c r="B35" s="721" t="s">
        <v>64</v>
      </c>
      <c r="C35" s="721" t="str">
        <f>Questions!C151</f>
        <v>FAA2</v>
      </c>
      <c r="D35" s="721"/>
      <c r="E35" s="2318" t="str">
        <f>VLOOKUP(C35,Questions!$C$3:$H$171,6,FALSE)</f>
        <v>Is there an assessment of various options to minimize the requirement of government support? Such as options for additional sources of revenue, tariff adjustments, optimizing project scope, and/or adjusting the contract period?</v>
      </c>
      <c r="F35" s="2318"/>
      <c r="G35" s="2318"/>
      <c r="H35" s="2318"/>
      <c r="I35" s="2318"/>
      <c r="J35" s="2318"/>
      <c r="K35" s="2318"/>
      <c r="L35" s="2318"/>
      <c r="M35" s="2318"/>
      <c r="N35" s="2318"/>
      <c r="O35" s="2318"/>
      <c r="P35" s="2318"/>
      <c r="Q35" s="2318"/>
      <c r="R35" s="2318"/>
      <c r="S35" s="2318"/>
      <c r="T35" s="2318"/>
      <c r="U35" s="2318"/>
      <c r="V35" s="2318"/>
      <c r="W35" s="2318"/>
      <c r="X35" s="2318"/>
      <c r="Y35" s="2318"/>
      <c r="Z35" s="2318"/>
      <c r="AA35" s="2318"/>
      <c r="AB35" s="2169" t="s">
        <v>34</v>
      </c>
      <c r="AC35" s="2169"/>
      <c r="AD35" s="2323"/>
      <c r="AE35" s="2323"/>
      <c r="AF35" s="2323"/>
      <c r="AG35" s="2323"/>
      <c r="AH35" s="2323"/>
      <c r="AI35" s="1"/>
      <c r="BE35" s="38"/>
      <c r="BF35" s="38"/>
      <c r="BG35" s="38"/>
      <c r="BH35" s="38"/>
    </row>
    <row r="36" spans="1:60" ht="15.6" x14ac:dyDescent="0.3">
      <c r="A36" s="36"/>
      <c r="B36" s="721" t="s">
        <v>65</v>
      </c>
      <c r="C36" s="721" t="str">
        <f>Questions!C152</f>
        <v>FAA3</v>
      </c>
      <c r="D36" s="721"/>
      <c r="E36" s="2317" t="str">
        <f>VLOOKUP(C36,Questions!$C$3:$H$171,6,FALSE)</f>
        <v xml:space="preserve">Has the level of government support been benchmarked to comparable projects, at the national level or regional level? </v>
      </c>
      <c r="F36" s="2317"/>
      <c r="G36" s="2317"/>
      <c r="H36" s="2317"/>
      <c r="I36" s="2317"/>
      <c r="J36" s="2317"/>
      <c r="K36" s="2317"/>
      <c r="L36" s="2317"/>
      <c r="M36" s="2317"/>
      <c r="N36" s="2317"/>
      <c r="O36" s="2317"/>
      <c r="P36" s="2317"/>
      <c r="Q36" s="2317"/>
      <c r="R36" s="2317"/>
      <c r="S36" s="2317"/>
      <c r="T36" s="2317"/>
      <c r="U36" s="2317"/>
      <c r="V36" s="2317"/>
      <c r="W36" s="2317"/>
      <c r="X36" s="2317"/>
      <c r="Y36" s="2317"/>
      <c r="Z36" s="2317"/>
      <c r="AA36" s="2317"/>
      <c r="AB36" s="2169" t="s">
        <v>34</v>
      </c>
      <c r="AC36" s="2169"/>
      <c r="AD36" s="2323"/>
      <c r="AE36" s="2323"/>
      <c r="AF36" s="2323"/>
      <c r="AG36" s="2323"/>
      <c r="AH36" s="2323"/>
      <c r="AI36" s="1"/>
      <c r="BE36" s="38"/>
      <c r="BF36" s="38"/>
      <c r="BG36" s="38"/>
      <c r="BH36" s="38"/>
    </row>
    <row r="37" spans="1:60" ht="22.5" customHeight="1" x14ac:dyDescent="0.3">
      <c r="A37" s="36"/>
      <c r="B37" s="721" t="s">
        <v>66</v>
      </c>
      <c r="C37" s="721" t="str">
        <f>Questions!C153</f>
        <v>FAA4</v>
      </c>
      <c r="D37" s="721"/>
      <c r="E37" s="2318" t="str">
        <f>VLOOKUP(C37,Questions!$C$3:$H$171,6,FALSE)</f>
        <v>Will there be competitive pressure in market determination of government support?</v>
      </c>
      <c r="F37" s="2318"/>
      <c r="G37" s="2318"/>
      <c r="H37" s="2318"/>
      <c r="I37" s="2318"/>
      <c r="J37" s="2318"/>
      <c r="K37" s="2318"/>
      <c r="L37" s="2318"/>
      <c r="M37" s="2318"/>
      <c r="N37" s="2318"/>
      <c r="O37" s="2318"/>
      <c r="P37" s="2318"/>
      <c r="Q37" s="2318"/>
      <c r="R37" s="2318"/>
      <c r="S37" s="2318"/>
      <c r="T37" s="2318"/>
      <c r="U37" s="2318"/>
      <c r="V37" s="2318"/>
      <c r="W37" s="2318"/>
      <c r="X37" s="2318"/>
      <c r="Y37" s="2318"/>
      <c r="Z37" s="2318"/>
      <c r="AA37" s="2318"/>
      <c r="AB37" s="2169" t="s">
        <v>34</v>
      </c>
      <c r="AC37" s="2169"/>
      <c r="AD37" s="2323"/>
      <c r="AE37" s="2323"/>
      <c r="AF37" s="2323"/>
      <c r="AG37" s="2323"/>
      <c r="AH37" s="2323"/>
      <c r="AI37" s="1"/>
      <c r="BE37" s="38"/>
      <c r="BF37" s="38"/>
      <c r="BG37" s="38"/>
      <c r="BH37" s="38"/>
    </row>
    <row r="38" spans="1:60" s="47" customFormat="1" ht="7.5" customHeight="1" x14ac:dyDescent="0.3">
      <c r="B38" s="13"/>
      <c r="C38" s="48"/>
      <c r="D38" s="4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2324"/>
      <c r="AE38" s="2324"/>
      <c r="AF38" s="2324"/>
      <c r="AG38" s="2324"/>
      <c r="AH38" s="2324"/>
      <c r="AI38" s="1"/>
      <c r="BE38" s="38"/>
      <c r="BF38" s="38"/>
      <c r="BG38" s="38"/>
      <c r="BH38" s="38"/>
    </row>
    <row r="39" spans="1:60" ht="15.75" customHeight="1" x14ac:dyDescent="0.3">
      <c r="A39" s="36"/>
      <c r="B39" s="722">
        <v>2</v>
      </c>
      <c r="C39" s="721"/>
      <c r="D39" s="721"/>
      <c r="E39" s="2171" t="s">
        <v>341</v>
      </c>
      <c r="F39" s="2171"/>
      <c r="G39" s="2171"/>
      <c r="H39" s="2171"/>
      <c r="I39" s="2171"/>
      <c r="J39" s="2171"/>
      <c r="K39" s="2171"/>
      <c r="L39" s="2171"/>
      <c r="M39" s="2171"/>
      <c r="N39" s="2171"/>
      <c r="O39" s="2171"/>
      <c r="P39" s="2171"/>
      <c r="Q39" s="2171"/>
      <c r="R39" s="2171"/>
      <c r="S39" s="2171"/>
      <c r="T39" s="2171"/>
      <c r="U39" s="2171"/>
      <c r="V39" s="2171"/>
      <c r="W39" s="2171"/>
      <c r="X39" s="2171"/>
      <c r="Y39" s="2171"/>
      <c r="Z39" s="2171"/>
      <c r="AA39" s="2171"/>
      <c r="AB39" s="2260" t="str">
        <f>IF(E40=0,"Not Applicable","")</f>
        <v/>
      </c>
      <c r="AC39" s="2260"/>
      <c r="AD39" s="2321"/>
      <c r="AE39" s="2321"/>
      <c r="AF39" s="2321"/>
      <c r="AG39" s="2321"/>
      <c r="AH39" s="2321"/>
      <c r="AI39" s="1"/>
      <c r="BF39" s="47"/>
      <c r="BG39" s="47"/>
      <c r="BH39" s="47"/>
    </row>
    <row r="40" spans="1:60" ht="17.25" customHeight="1" x14ac:dyDescent="0.3">
      <c r="A40" s="36"/>
      <c r="B40" s="721" t="s">
        <v>63</v>
      </c>
      <c r="C40" s="721" t="str">
        <f>Questions!C154</f>
        <v>FAB1</v>
      </c>
      <c r="D40" s="721"/>
      <c r="E40" s="2317" t="str">
        <f>VLOOKUP(C40,Questions!$C$3:$H$171,6,FALSE)</f>
        <v>In case of direct fiscal commitments, are the expected annual payments within budgetary ceilings?</v>
      </c>
      <c r="F40" s="2317"/>
      <c r="G40" s="2317"/>
      <c r="H40" s="2317"/>
      <c r="I40" s="2317"/>
      <c r="J40" s="2317"/>
      <c r="K40" s="2317"/>
      <c r="L40" s="2317"/>
      <c r="M40" s="2317"/>
      <c r="N40" s="2317"/>
      <c r="O40" s="2317"/>
      <c r="P40" s="2317"/>
      <c r="Q40" s="2317"/>
      <c r="R40" s="2317"/>
      <c r="S40" s="2317"/>
      <c r="T40" s="2317"/>
      <c r="U40" s="2317"/>
      <c r="V40" s="2317"/>
      <c r="W40" s="2317"/>
      <c r="X40" s="2317"/>
      <c r="Y40" s="2317"/>
      <c r="Z40" s="2317"/>
      <c r="AA40" s="2317"/>
      <c r="AB40" s="2169" t="s">
        <v>34</v>
      </c>
      <c r="AC40" s="2169"/>
      <c r="AD40" s="2322"/>
      <c r="AE40" s="2322"/>
      <c r="AF40" s="2322"/>
      <c r="AG40" s="2322"/>
      <c r="AH40" s="2322"/>
      <c r="AI40" s="1"/>
      <c r="BF40" s="47"/>
      <c r="BG40" s="47"/>
      <c r="BH40" s="47"/>
    </row>
    <row r="41" spans="1:60" ht="29.25" customHeight="1" x14ac:dyDescent="0.3">
      <c r="A41" s="36"/>
      <c r="B41" s="721" t="s">
        <v>64</v>
      </c>
      <c r="C41" s="721" t="str">
        <f>Questions!C155</f>
        <v>FAB2</v>
      </c>
      <c r="D41" s="721"/>
      <c r="E41" s="2318" t="str">
        <f>VLOOKUP(C41,Questions!$C$3:$H$171,6,FALSE)</f>
        <v>If a non-termination event defined by the PPP contract (or a guarantee arrangement) occurs, are the maximum expected annual payouts triggered by this event within acceptable budgetary limits for the government?</v>
      </c>
      <c r="F41" s="2318"/>
      <c r="G41" s="2318"/>
      <c r="H41" s="2318"/>
      <c r="I41" s="2318"/>
      <c r="J41" s="2318"/>
      <c r="K41" s="2318"/>
      <c r="L41" s="2318"/>
      <c r="M41" s="2318"/>
      <c r="N41" s="2318"/>
      <c r="O41" s="2318"/>
      <c r="P41" s="2318"/>
      <c r="Q41" s="2318"/>
      <c r="R41" s="2318"/>
      <c r="S41" s="2318"/>
      <c r="T41" s="2318"/>
      <c r="U41" s="2318"/>
      <c r="V41" s="2318"/>
      <c r="W41" s="2318"/>
      <c r="X41" s="2318"/>
      <c r="Y41" s="2318"/>
      <c r="Z41" s="2318"/>
      <c r="AA41" s="2318"/>
      <c r="AB41" s="2169" t="s">
        <v>34</v>
      </c>
      <c r="AC41" s="2169"/>
      <c r="AD41" s="2323"/>
      <c r="AE41" s="2323"/>
      <c r="AF41" s="2323"/>
      <c r="AG41" s="2323"/>
      <c r="AH41" s="2323"/>
      <c r="AI41" s="1"/>
    </row>
    <row r="42" spans="1:60" ht="31.5" customHeight="1" x14ac:dyDescent="0.3">
      <c r="A42" s="36"/>
      <c r="B42" s="721" t="s">
        <v>65</v>
      </c>
      <c r="C42" s="721" t="str">
        <f>Questions!C156</f>
        <v>FAB3</v>
      </c>
      <c r="D42" s="721"/>
      <c r="E42" s="2326" t="str">
        <f>VLOOKUP(C42,Questions!$C$3:$H$171,6,FALSE)</f>
        <v>Will the impacts of direct and contingent liabilities of the project be within an acceptable level for the government?</v>
      </c>
      <c r="F42" s="2326"/>
      <c r="G42" s="2326"/>
      <c r="H42" s="2326"/>
      <c r="I42" s="2326"/>
      <c r="J42" s="2326"/>
      <c r="K42" s="2326"/>
      <c r="L42" s="2326"/>
      <c r="M42" s="2326"/>
      <c r="N42" s="2326"/>
      <c r="O42" s="2326"/>
      <c r="P42" s="2326"/>
      <c r="Q42" s="2326"/>
      <c r="R42" s="2326"/>
      <c r="S42" s="2326"/>
      <c r="T42" s="2326"/>
      <c r="U42" s="2326"/>
      <c r="V42" s="2326"/>
      <c r="W42" s="2326"/>
      <c r="X42" s="2326"/>
      <c r="Y42" s="2326"/>
      <c r="Z42" s="2326"/>
      <c r="AA42" s="2326"/>
      <c r="AB42" s="2319" t="s">
        <v>34</v>
      </c>
      <c r="AC42" s="2319"/>
      <c r="AD42" s="2323"/>
      <c r="AE42" s="2323"/>
      <c r="AF42" s="2323"/>
      <c r="AG42" s="2323"/>
      <c r="AH42" s="2323"/>
      <c r="AI42" s="1"/>
    </row>
    <row r="43" spans="1:60" ht="16.5" customHeight="1" x14ac:dyDescent="0.3">
      <c r="A43" s="36"/>
      <c r="B43" s="721" t="s">
        <v>66</v>
      </c>
      <c r="C43" s="721" t="str">
        <f>Questions!C157</f>
        <v>FAB4</v>
      </c>
      <c r="D43" s="721"/>
      <c r="E43" s="2317" t="str">
        <f>VLOOKUP(C43,Questions!$C$3:$H$171,6,FALSE)</f>
        <v xml:space="preserve">Is there a clear strategy to mitigate fiscal risks emerging from the PPP contract ? </v>
      </c>
      <c r="F43" s="2317"/>
      <c r="G43" s="2317"/>
      <c r="H43" s="2317"/>
      <c r="I43" s="2317"/>
      <c r="J43" s="2317"/>
      <c r="K43" s="2317"/>
      <c r="L43" s="2317"/>
      <c r="M43" s="2317"/>
      <c r="N43" s="2317"/>
      <c r="O43" s="2317"/>
      <c r="P43" s="2317"/>
      <c r="Q43" s="2317"/>
      <c r="R43" s="2317"/>
      <c r="S43" s="2317"/>
      <c r="T43" s="2317"/>
      <c r="U43" s="2317"/>
      <c r="V43" s="2317"/>
      <c r="W43" s="2317"/>
      <c r="X43" s="2317"/>
      <c r="Y43" s="2317"/>
      <c r="Z43" s="2317"/>
      <c r="AA43" s="2317"/>
      <c r="AB43" s="2169" t="s">
        <v>34</v>
      </c>
      <c r="AC43" s="2169"/>
      <c r="AD43" s="2323"/>
      <c r="AE43" s="2323"/>
      <c r="AF43" s="2323"/>
      <c r="AG43" s="2323"/>
      <c r="AH43" s="2323"/>
      <c r="AI43" s="1"/>
    </row>
    <row r="44" spans="1:60" ht="6" customHeight="1" x14ac:dyDescent="0.3">
      <c r="A44" s="36"/>
      <c r="B44" s="13"/>
      <c r="C44" s="13"/>
      <c r="D44" s="13"/>
      <c r="E44" s="79"/>
      <c r="F44" s="79"/>
      <c r="G44" s="79"/>
      <c r="H44" s="79"/>
      <c r="I44" s="79"/>
      <c r="J44" s="79"/>
      <c r="K44" s="79"/>
      <c r="L44" s="79"/>
      <c r="M44" s="79"/>
      <c r="N44" s="79"/>
      <c r="O44" s="79"/>
      <c r="P44" s="79"/>
      <c r="Q44" s="79"/>
      <c r="R44" s="79"/>
      <c r="S44" s="79"/>
      <c r="T44" s="79"/>
      <c r="U44" s="79"/>
      <c r="V44" s="79"/>
      <c r="W44" s="79"/>
      <c r="X44" s="2330"/>
      <c r="Y44" s="2330"/>
      <c r="Z44" s="2330"/>
      <c r="AA44" s="2330"/>
      <c r="AB44" s="1990"/>
      <c r="AC44" s="1990"/>
      <c r="AD44" s="2329"/>
      <c r="AE44" s="2329"/>
      <c r="AF44" s="2329"/>
      <c r="AG44" s="2329"/>
      <c r="AH44" s="2329"/>
      <c r="AI44" s="1"/>
    </row>
    <row r="45" spans="1:60" x14ac:dyDescent="0.3">
      <c r="A45" s="36"/>
      <c r="AB45" s="1991"/>
      <c r="AC45" s="1991"/>
      <c r="AD45" s="47"/>
      <c r="AF45" s="47"/>
      <c r="AG45" s="47"/>
      <c r="AH45" s="47"/>
      <c r="AI45" s="1"/>
    </row>
    <row r="46" spans="1:60" ht="7.5" customHeight="1" x14ac:dyDescent="0.3">
      <c r="A46" s="1035"/>
      <c r="B46" s="1"/>
      <c r="C46" s="1"/>
      <c r="D46" s="1"/>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1"/>
      <c r="AE46" s="1"/>
      <c r="AF46" s="1"/>
      <c r="AG46" s="1"/>
      <c r="AH46" s="1"/>
      <c r="AI46" s="1"/>
    </row>
    <row r="47" spans="1:60" x14ac:dyDescent="0.3">
      <c r="A47" s="36"/>
      <c r="AD47" s="47"/>
      <c r="BC47" s="26"/>
      <c r="BD47" s="26"/>
    </row>
    <row r="48" spans="1:60" ht="15" thickBot="1" x14ac:dyDescent="0.35">
      <c r="A48" s="36"/>
      <c r="AD48" s="47"/>
      <c r="BC48" s="27"/>
      <c r="BD48" s="28"/>
    </row>
    <row r="49" spans="5:57" ht="18.600000000000001" thickBot="1" x14ac:dyDescent="0.35">
      <c r="BC49" s="2210" t="s">
        <v>446</v>
      </c>
      <c r="BD49" s="2211"/>
    </row>
    <row r="50" spans="5:57" ht="15.6" x14ac:dyDescent="0.3">
      <c r="BC50" s="2327" t="s">
        <v>915</v>
      </c>
      <c r="BD50" s="2328"/>
    </row>
    <row r="51" spans="5:57" s="47" customFormat="1" ht="320.25" customHeight="1" thickBot="1" x14ac:dyDescent="0.35">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BC51" s="2283" t="s">
        <v>907</v>
      </c>
      <c r="BD51" s="2284"/>
      <c r="BE51" s="12"/>
    </row>
    <row r="52" spans="5:57" s="47" customFormat="1" ht="18" x14ac:dyDescent="0.3">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BC52" s="2306" t="s">
        <v>914</v>
      </c>
      <c r="BD52" s="2307"/>
    </row>
    <row r="53" spans="5:57" s="47" customFormat="1" ht="150" customHeight="1" thickBot="1" x14ac:dyDescent="0.35">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BC53" s="2310" t="s">
        <v>906</v>
      </c>
      <c r="BD53" s="2311"/>
      <c r="BE53" s="12"/>
    </row>
    <row r="54" spans="5:57" s="47" customFormat="1" x14ac:dyDescent="0.3">
      <c r="E54" s="50"/>
      <c r="F54" s="50"/>
      <c r="G54" s="50"/>
      <c r="H54" s="50"/>
      <c r="I54" s="50"/>
      <c r="J54" s="50"/>
      <c r="K54" s="50"/>
      <c r="L54" s="50"/>
      <c r="M54" s="50"/>
      <c r="N54" s="50"/>
      <c r="O54" s="50"/>
      <c r="P54" s="50"/>
      <c r="Q54" s="50"/>
      <c r="R54" s="50"/>
      <c r="S54" s="50"/>
      <c r="T54" s="50"/>
      <c r="U54" s="50"/>
      <c r="V54" s="50"/>
      <c r="W54" s="50"/>
      <c r="X54" s="50"/>
      <c r="Y54" s="50"/>
      <c r="Z54" s="50"/>
      <c r="AA54" s="50"/>
      <c r="AB54" s="50"/>
      <c r="AC54" s="50"/>
    </row>
    <row r="55" spans="5:57" ht="166.5" customHeight="1" x14ac:dyDescent="0.3"/>
    <row r="57" spans="5:57" x14ac:dyDescent="0.3">
      <c r="BC57" s="1074"/>
      <c r="BD57" s="1074"/>
    </row>
    <row r="58" spans="5:57" x14ac:dyDescent="0.3">
      <c r="BC58" s="1075"/>
      <c r="BD58" s="1075"/>
    </row>
    <row r="59" spans="5:57" x14ac:dyDescent="0.3">
      <c r="BC59" s="1075"/>
      <c r="BD59" s="1075"/>
    </row>
    <row r="60" spans="5:57" x14ac:dyDescent="0.3">
      <c r="BC60" s="1075"/>
      <c r="BD60" s="1075"/>
    </row>
    <row r="61" spans="5:57" x14ac:dyDescent="0.3">
      <c r="BC61" s="1076"/>
      <c r="BD61" s="1076"/>
    </row>
    <row r="63" spans="5:57" x14ac:dyDescent="0.3">
      <c r="BC63" s="1074"/>
      <c r="BD63" s="1074"/>
    </row>
    <row r="64" spans="5:57" x14ac:dyDescent="0.3">
      <c r="BC64" s="1074"/>
      <c r="BD64" s="1074"/>
    </row>
    <row r="65" spans="55:56" x14ac:dyDescent="0.3">
      <c r="BC65" s="1074"/>
      <c r="BD65" s="1074"/>
    </row>
    <row r="66" spans="55:56" x14ac:dyDescent="0.3">
      <c r="BC66" s="13"/>
      <c r="BD66" s="13"/>
    </row>
  </sheetData>
  <sheetProtection password="DA20" sheet="1" objects="1" scenarios="1"/>
  <mergeCells count="59">
    <mergeCell ref="BC52:BD52"/>
    <mergeCell ref="BC53:BD53"/>
    <mergeCell ref="BC50:BD50"/>
    <mergeCell ref="BC51:BD51"/>
    <mergeCell ref="E33:AA33"/>
    <mergeCell ref="E39:AA39"/>
    <mergeCell ref="BC49:BD49"/>
    <mergeCell ref="E43:AA43"/>
    <mergeCell ref="E40:AA40"/>
    <mergeCell ref="AD44:AH44"/>
    <mergeCell ref="AD43:AH43"/>
    <mergeCell ref="X44:AA44"/>
    <mergeCell ref="P19:T20"/>
    <mergeCell ref="AD39:AH39"/>
    <mergeCell ref="AD40:AH40"/>
    <mergeCell ref="AD41:AH41"/>
    <mergeCell ref="AD42:AH42"/>
    <mergeCell ref="AD34:AH34"/>
    <mergeCell ref="AD35:AH35"/>
    <mergeCell ref="AD36:AH36"/>
    <mergeCell ref="AD37:AH37"/>
    <mergeCell ref="AD38:AH38"/>
    <mergeCell ref="AD32:AH32"/>
    <mergeCell ref="AD31:AF31"/>
    <mergeCell ref="AD33:AH33"/>
    <mergeCell ref="E42:AA42"/>
    <mergeCell ref="E41:AA41"/>
    <mergeCell ref="E37:AA37"/>
    <mergeCell ref="AG4:AG5"/>
    <mergeCell ref="D5:M5"/>
    <mergeCell ref="W13:W15"/>
    <mergeCell ref="X13:AC15"/>
    <mergeCell ref="X6:AC11"/>
    <mergeCell ref="O5:U5"/>
    <mergeCell ref="AG6:AG7"/>
    <mergeCell ref="AG8:AG10"/>
    <mergeCell ref="D4:U4"/>
    <mergeCell ref="W5:AC5"/>
    <mergeCell ref="W12:AC12"/>
    <mergeCell ref="W6:W11"/>
    <mergeCell ref="P15:R15"/>
    <mergeCell ref="AG11:AG13"/>
    <mergeCell ref="AF4:AF13"/>
    <mergeCell ref="W16:AC16"/>
    <mergeCell ref="AB35:AC35"/>
    <mergeCell ref="AB36:AC36"/>
    <mergeCell ref="AB43:AC43"/>
    <mergeCell ref="AA31:AC31"/>
    <mergeCell ref="AB32:AC32"/>
    <mergeCell ref="E36:AA36"/>
    <mergeCell ref="E35:AA35"/>
    <mergeCell ref="AB33:AC33"/>
    <mergeCell ref="AB34:AC34"/>
    <mergeCell ref="E34:AA34"/>
    <mergeCell ref="AB37:AC37"/>
    <mergeCell ref="AB39:AC39"/>
    <mergeCell ref="AB40:AC40"/>
    <mergeCell ref="AB41:AC41"/>
    <mergeCell ref="AB42:AC42"/>
  </mergeCells>
  <conditionalFormatting sqref="AB34:AC37">
    <cfRule type="expression" dxfId="343" priority="8">
      <formula>E34=0</formula>
    </cfRule>
  </conditionalFormatting>
  <conditionalFormatting sqref="AB35:AC37">
    <cfRule type="expression" dxfId="342" priority="7">
      <formula>E35=0</formula>
    </cfRule>
  </conditionalFormatting>
  <conditionalFormatting sqref="AB40:AC43">
    <cfRule type="expression" dxfId="341" priority="6">
      <formula>E40=0</formula>
    </cfRule>
  </conditionalFormatting>
  <conditionalFormatting sqref="AB40:AC41">
    <cfRule type="expression" dxfId="340" priority="1">
      <formula>E40=0</formula>
    </cfRule>
  </conditionalFormatting>
  <dataValidations count="2">
    <dataValidation allowBlank="1" showInputMessage="1" showErrorMessage="1" promptTitle="Select Response" sqref="AC38" xr:uid="{00000000-0002-0000-0700-000000000000}"/>
    <dataValidation type="list" allowBlank="1" showInputMessage="1" showErrorMessage="1" promptTitle="Select Response" sqref="AB34:AC37 AB40:AC43" xr:uid="{00000000-0002-0000-0700-000001000000}">
      <formula1>"Yes,No,Uncertain,N/A,Skip"</formula1>
    </dataValidation>
  </dataValidations>
  <hyperlinks>
    <hyperlink ref="E33:R33" location="Affordability1" display="Extent and Nature of Government Fiscal Support" xr:uid="{00000000-0004-0000-0700-000000000000}"/>
    <hyperlink ref="E39:N39" location="Affordability2" display="Quantifiation of Fiscal Support" xr:uid="{00000000-0004-0000-0700-000001000000}"/>
    <hyperlink ref="E39:AA39" location="Affordability2" display="Quantification of Fiscal Support" xr:uid="{00000000-0004-0000-0700-000002000000}"/>
    <hyperlink ref="E33:AA33" location="Affordability1" display="Extent and Nature of Government Fiscal Support" xr:uid="{00000000-0004-0000-0700-000003000000}"/>
  </hyperlinks>
  <pageMargins left="0.7" right="0.7" top="0.75" bottom="0.75" header="0.3" footer="0.3"/>
  <pageSetup paperSize="9" scale="16" orientation="landscape" r:id="rId1"/>
  <ignoredErrors>
    <ignoredError sqref="M10:N10 M13:N13" formula="1"/>
    <ignoredError sqref="AB33 AB3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D2CF303C-5582-44BC-9A3F-33661D44D5F5}">
            <xm:f>'Data Analysis'!$E$441=0</xm:f>
            <x14:dxf>
              <font>
                <color theme="0" tint="-0.499984740745262"/>
              </font>
              <fill>
                <patternFill>
                  <bgColor theme="0" tint="-0.499984740745262"/>
                </patternFill>
              </fill>
              <border>
                <left/>
                <right/>
                <top/>
                <bottom/>
              </border>
            </x14:dxf>
          </x14:cfRule>
          <xm:sqref>A30:AH32 A33:E33 AB33:AH33 A39:D39 AB39:AH39 A34:AH38 A40:AH45</xm:sqref>
        </x14:conditionalFormatting>
        <x14:conditionalFormatting xmlns:xm="http://schemas.microsoft.com/office/excel/2006/main">
          <x14:cfRule type="expression" priority="434" id="{93547A56-2A2F-4B9E-816A-227DA934E9DB}">
            <xm:f>Admin!$M$49=TRUE</xm:f>
            <x14:dxf>
              <font>
                <color rgb="FFC00000"/>
              </font>
            </x14:dxf>
          </x14:cfRule>
          <xm:sqref>E42:AA42</xm:sqref>
        </x14:conditionalFormatting>
        <x14:conditionalFormatting xmlns:xm="http://schemas.microsoft.com/office/excel/2006/main">
          <x14:cfRule type="expression" priority="3" id="{630C8EF2-2A3F-477D-A9A9-2C87002AD61A}">
            <xm:f>'Data Analysis'!$E$441=0</xm:f>
            <x14:dxf>
              <font>
                <color theme="0" tint="-0.499984740745262"/>
              </font>
              <fill>
                <patternFill>
                  <bgColor theme="0" tint="-0.499984740745262"/>
                </patternFill>
              </fill>
            </x14:dxf>
          </x14:cfRule>
          <xm:sqref>AD31:AH31</xm:sqref>
        </x14:conditionalFormatting>
        <x14:conditionalFormatting xmlns:xm="http://schemas.microsoft.com/office/excel/2006/main">
          <x14:cfRule type="expression" priority="2" id="{B6903C61-B994-4547-AC6F-A2BF7A8B5B9C}">
            <xm:f>'Data Analysis'!$E$441=0</xm:f>
            <x14:dxf>
              <font>
                <color theme="0" tint="-0.499984740745262"/>
              </font>
              <fill>
                <patternFill>
                  <bgColor theme="0" tint="-0.499984740745262"/>
                </patternFill>
              </fill>
              <border>
                <left/>
                <right/>
                <top/>
                <bottom/>
              </border>
            </x14:dxf>
          </x14:cfRule>
          <xm:sqref>E39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BZ67"/>
  <sheetViews>
    <sheetView showGridLines="0" topLeftCell="B1" zoomScale="80" zoomScaleNormal="80" workbookViewId="0">
      <selection activeCell="B1" sqref="B1"/>
    </sheetView>
  </sheetViews>
  <sheetFormatPr defaultColWidth="9.21875" defaultRowHeight="14.4" x14ac:dyDescent="0.3"/>
  <cols>
    <col min="1" max="1" width="3.44140625" style="12" hidden="1" customWidth="1"/>
    <col min="2" max="2" width="4.44140625" style="12" customWidth="1"/>
    <col min="3" max="3" width="2.44140625" style="12" hidden="1" customWidth="1"/>
    <col min="4" max="4" width="4" style="12" customWidth="1"/>
    <col min="5" max="13" width="4" style="47" customWidth="1"/>
    <col min="14" max="24" width="9.21875" style="47" customWidth="1"/>
    <col min="25" max="25" width="16.21875" style="12" customWidth="1"/>
    <col min="26" max="26" width="18.5546875" style="12" customWidth="1"/>
    <col min="27" max="27" width="13" style="12" customWidth="1"/>
    <col min="28" max="28" width="1.44140625" style="47" customWidth="1"/>
    <col min="29" max="30" width="9.21875" style="12"/>
    <col min="31" max="31" width="53.5546875" style="12" customWidth="1"/>
    <col min="32" max="32" width="12.44140625" style="12" customWidth="1"/>
    <col min="33" max="33" width="1.44140625" style="12" customWidth="1"/>
    <col min="34" max="42" width="9.21875" style="12"/>
    <col min="43" max="43" width="60.5546875" style="12" customWidth="1"/>
    <col min="44" max="44" width="116.5546875" style="12" customWidth="1"/>
    <col min="45" max="16384" width="9.21875" style="12"/>
  </cols>
  <sheetData>
    <row r="1" spans="1:78" ht="27" customHeight="1" thickTop="1" x14ac:dyDescent="0.55000000000000004">
      <c r="A1" s="85"/>
      <c r="B1" s="85"/>
      <c r="C1" s="86"/>
      <c r="D1" s="87" t="s">
        <v>827</v>
      </c>
      <c r="E1" s="87"/>
      <c r="F1" s="87"/>
      <c r="G1" s="87"/>
      <c r="H1" s="87"/>
      <c r="I1" s="87"/>
      <c r="J1" s="87"/>
      <c r="K1" s="87"/>
      <c r="L1" s="87"/>
      <c r="M1" s="87"/>
      <c r="N1" s="87"/>
      <c r="O1" s="87"/>
      <c r="P1" s="87"/>
      <c r="Q1" s="87"/>
      <c r="R1" s="87"/>
      <c r="S1" s="87"/>
      <c r="T1" s="87"/>
      <c r="U1" s="87"/>
      <c r="V1" s="87"/>
      <c r="W1" s="87"/>
      <c r="X1" s="87"/>
      <c r="Y1" s="86"/>
      <c r="Z1" s="86"/>
      <c r="AA1" s="86"/>
      <c r="AB1" s="86"/>
      <c r="AC1" s="1"/>
      <c r="AD1" s="1"/>
      <c r="AE1" s="1"/>
      <c r="AF1" s="1"/>
      <c r="AG1" s="1"/>
      <c r="AQ1" s="427"/>
      <c r="BL1" s="54" t="s">
        <v>222</v>
      </c>
      <c r="BM1" s="54">
        <f>'Data Analysis'!$AB$478</f>
        <v>180.00000000000003</v>
      </c>
      <c r="BN1" s="54"/>
    </row>
    <row r="2" spans="1:78" ht="15" customHeight="1" x14ac:dyDescent="0.3">
      <c r="A2" s="91">
        <f>K8+1</f>
        <v>4.5</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13"/>
      <c r="AD2" s="13"/>
      <c r="AG2" s="1"/>
      <c r="AQ2" s="427"/>
      <c r="BL2" s="54" t="s">
        <v>10</v>
      </c>
      <c r="BM2" s="54">
        <v>1</v>
      </c>
      <c r="BN2" s="54"/>
    </row>
    <row r="3" spans="1:78" ht="15.75" customHeight="1" thickBot="1" x14ac:dyDescent="0.3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13"/>
      <c r="AD3" s="13"/>
      <c r="AG3" s="1"/>
      <c r="AQ3" s="427"/>
      <c r="BL3" s="54" t="s">
        <v>11</v>
      </c>
      <c r="BM3" s="54">
        <f>360-BM1-BM2</f>
        <v>178.99999999999997</v>
      </c>
      <c r="BN3" s="54"/>
    </row>
    <row r="4" spans="1:78" ht="15" customHeight="1" x14ac:dyDescent="0.3">
      <c r="A4" s="38"/>
      <c r="B4" s="258"/>
      <c r="C4" s="38"/>
      <c r="D4" s="2235" t="s">
        <v>828</v>
      </c>
      <c r="E4" s="2236"/>
      <c r="F4" s="2236"/>
      <c r="G4" s="2236"/>
      <c r="H4" s="2236"/>
      <c r="I4" s="2236"/>
      <c r="J4" s="2236"/>
      <c r="K4" s="2236"/>
      <c r="L4" s="2236"/>
      <c r="M4" s="2236"/>
      <c r="N4" s="2236"/>
      <c r="O4" s="2236"/>
      <c r="P4" s="2236"/>
      <c r="Q4" s="2236"/>
      <c r="R4" s="2236"/>
      <c r="S4" s="2236"/>
      <c r="T4" s="2236"/>
      <c r="U4" s="2237"/>
      <c r="W4" s="400"/>
      <c r="X4" s="401"/>
      <c r="Y4" s="401"/>
      <c r="Z4" s="401"/>
      <c r="AA4" s="401"/>
      <c r="AB4" s="402"/>
      <c r="AC4" s="217"/>
      <c r="AD4" s="2339" t="s">
        <v>67</v>
      </c>
      <c r="AE4" s="2186" t="s">
        <v>810</v>
      </c>
      <c r="AG4" s="1"/>
      <c r="AQ4" s="427"/>
    </row>
    <row r="5" spans="1:78" s="47" customFormat="1" ht="15" customHeight="1" x14ac:dyDescent="0.35">
      <c r="A5" s="38"/>
      <c r="B5" s="258"/>
      <c r="C5" s="38"/>
      <c r="D5" s="2276" t="s">
        <v>244</v>
      </c>
      <c r="E5" s="2277"/>
      <c r="F5" s="2277"/>
      <c r="G5" s="2277"/>
      <c r="H5" s="2277"/>
      <c r="I5" s="2277"/>
      <c r="J5" s="2277"/>
      <c r="K5" s="2277"/>
      <c r="L5" s="2277"/>
      <c r="M5" s="213"/>
      <c r="N5" s="213"/>
      <c r="O5" s="2277" t="s">
        <v>0</v>
      </c>
      <c r="P5" s="2277"/>
      <c r="Q5" s="2277"/>
      <c r="R5" s="2277"/>
      <c r="S5" s="2277"/>
      <c r="T5" s="2277"/>
      <c r="U5" s="2278"/>
      <c r="W5" s="2193" t="s">
        <v>194</v>
      </c>
      <c r="X5" s="2194"/>
      <c r="Y5" s="2194"/>
      <c r="Z5" s="2194"/>
      <c r="AA5" s="2194"/>
      <c r="AB5" s="2195"/>
      <c r="AC5" s="214"/>
      <c r="AD5" s="2339"/>
      <c r="AE5" s="2186"/>
      <c r="AG5" s="1"/>
      <c r="AQ5" s="427"/>
    </row>
    <row r="6" spans="1:78" s="47" customFormat="1" ht="15" customHeight="1" x14ac:dyDescent="0.3">
      <c r="A6" s="38"/>
      <c r="B6" s="258"/>
      <c r="C6" s="38"/>
      <c r="D6" s="70"/>
      <c r="E6" s="4"/>
      <c r="F6" s="4"/>
      <c r="G6" s="4"/>
      <c r="H6" s="4"/>
      <c r="I6" s="4"/>
      <c r="J6" s="4"/>
      <c r="K6" s="4"/>
      <c r="L6" s="4"/>
      <c r="M6" s="4"/>
      <c r="N6" s="4"/>
      <c r="O6" s="4"/>
      <c r="P6" s="4"/>
      <c r="Q6" s="252"/>
      <c r="R6" s="252"/>
      <c r="S6" s="252"/>
      <c r="T6" s="252"/>
      <c r="U6" s="253"/>
      <c r="W6" s="2199" t="s">
        <v>41</v>
      </c>
      <c r="X6" s="2197" t="str">
        <f>Dashboard!P87</f>
        <v xml:space="preserve">The contracting agency has an implementable plan for developing the project . It also has very strong capability and dedicated, experienced personnel to manage the PPP. </v>
      </c>
      <c r="Y6" s="2197"/>
      <c r="Z6" s="2197"/>
      <c r="AA6" s="2197"/>
      <c r="AB6" s="2198"/>
      <c r="AC6" s="215"/>
      <c r="AD6" s="2339"/>
      <c r="AE6" s="2186"/>
      <c r="AG6" s="1"/>
      <c r="AQ6" s="427"/>
    </row>
    <row r="7" spans="1:78" ht="15" customHeight="1" x14ac:dyDescent="0.3">
      <c r="A7" s="38"/>
      <c r="B7" s="38"/>
      <c r="C7" s="38"/>
      <c r="D7" s="74"/>
      <c r="E7" s="52"/>
      <c r="F7" s="52"/>
      <c r="G7" s="52"/>
      <c r="H7" s="52"/>
      <c r="I7" s="52"/>
      <c r="J7" s="52"/>
      <c r="K7" s="52"/>
      <c r="L7" s="52"/>
      <c r="M7" s="52"/>
      <c r="N7" s="52"/>
      <c r="O7" s="52"/>
      <c r="P7" s="52"/>
      <c r="Q7" s="252"/>
      <c r="R7" s="252"/>
      <c r="S7" s="252"/>
      <c r="T7" s="252"/>
      <c r="U7" s="253"/>
      <c r="W7" s="2199"/>
      <c r="X7" s="2197"/>
      <c r="Y7" s="2197"/>
      <c r="Z7" s="2197"/>
      <c r="AA7" s="2197"/>
      <c r="AB7" s="2198"/>
      <c r="AC7" s="215"/>
      <c r="AD7" s="2339"/>
      <c r="AE7" s="2186" t="s">
        <v>430</v>
      </c>
      <c r="AG7" s="1"/>
      <c r="AQ7" s="427"/>
    </row>
    <row r="8" spans="1:78" ht="15" customHeight="1" x14ac:dyDescent="0.3">
      <c r="A8" s="38"/>
      <c r="B8" s="38"/>
      <c r="C8" s="38">
        <v>1</v>
      </c>
      <c r="D8" s="88">
        <v>0</v>
      </c>
      <c r="E8" s="76">
        <f>D8+0.5</f>
        <v>0.5</v>
      </c>
      <c r="F8" s="76">
        <f t="shared" ref="F8:N8" si="0">E8+0.5</f>
        <v>1</v>
      </c>
      <c r="G8" s="76">
        <f t="shared" si="0"/>
        <v>1.5</v>
      </c>
      <c r="H8" s="76">
        <f t="shared" si="0"/>
        <v>2</v>
      </c>
      <c r="I8" s="76">
        <f t="shared" si="0"/>
        <v>2.5</v>
      </c>
      <c r="J8" s="76">
        <f t="shared" si="0"/>
        <v>3</v>
      </c>
      <c r="K8" s="76">
        <f t="shared" si="0"/>
        <v>3.5</v>
      </c>
      <c r="L8" s="76">
        <f t="shared" si="0"/>
        <v>4</v>
      </c>
      <c r="M8" s="76">
        <f t="shared" si="0"/>
        <v>4.5</v>
      </c>
      <c r="N8" s="76">
        <f t="shared" si="0"/>
        <v>5</v>
      </c>
      <c r="O8" s="76"/>
      <c r="P8" s="76"/>
      <c r="Q8" s="252"/>
      <c r="R8" s="252"/>
      <c r="S8" s="252"/>
      <c r="T8" s="252"/>
      <c r="U8" s="253"/>
      <c r="W8" s="2199"/>
      <c r="X8" s="2197"/>
      <c r="Y8" s="2197"/>
      <c r="Z8" s="2197"/>
      <c r="AA8" s="2197"/>
      <c r="AB8" s="2198"/>
      <c r="AC8" s="215"/>
      <c r="AD8" s="2339"/>
      <c r="AE8" s="2186"/>
      <c r="AG8" s="1"/>
      <c r="AQ8" s="427"/>
    </row>
    <row r="9" spans="1:78" ht="15" customHeight="1" x14ac:dyDescent="0.3">
      <c r="A9" s="38"/>
      <c r="B9" s="91"/>
      <c r="C9" s="38"/>
      <c r="D9" s="74" t="s">
        <v>85</v>
      </c>
      <c r="E9" s="94"/>
      <c r="F9" s="94"/>
      <c r="G9" s="94"/>
      <c r="H9" s="94"/>
      <c r="I9" s="94"/>
      <c r="J9" s="94"/>
      <c r="K9" s="52"/>
      <c r="L9" s="52"/>
      <c r="M9" s="52"/>
      <c r="N9" s="52"/>
      <c r="O9" s="52"/>
      <c r="P9" s="52"/>
      <c r="Q9" s="252"/>
      <c r="R9" s="252"/>
      <c r="S9" s="252"/>
      <c r="T9" s="252"/>
      <c r="U9" s="253"/>
      <c r="W9" s="2199"/>
      <c r="X9" s="2197"/>
      <c r="Y9" s="2197"/>
      <c r="Z9" s="2197"/>
      <c r="AA9" s="2197"/>
      <c r="AB9" s="2198"/>
      <c r="AC9" s="215"/>
      <c r="AD9" s="2339"/>
      <c r="AE9" s="2186"/>
      <c r="AG9" s="1"/>
      <c r="AQ9" s="427"/>
    </row>
    <row r="10" spans="1:78" s="100" customFormat="1" x14ac:dyDescent="0.3">
      <c r="A10" s="98"/>
      <c r="B10" s="102">
        <f>Admin!J32</f>
        <v>5</v>
      </c>
      <c r="C10" s="98" t="str">
        <f t="shared" ref="C10" si="1">IF(AND($B$10&gt;B8,$B$10&lt;=C8),"↓","")</f>
        <v/>
      </c>
      <c r="D10" s="1119" t="str">
        <f>IF(AND($B$10&gt;=D8,$B$10&lt;E8),"↓","")</f>
        <v/>
      </c>
      <c r="E10" s="1110" t="str">
        <f t="shared" ref="E10:L10" si="2">IF(AND($B$10&gt;=E8,$B$10&lt;F8),"↓","")</f>
        <v/>
      </c>
      <c r="F10" s="1110" t="str">
        <f t="shared" si="2"/>
        <v/>
      </c>
      <c r="G10" s="1110" t="str">
        <f t="shared" si="2"/>
        <v/>
      </c>
      <c r="H10" s="1110" t="str">
        <f t="shared" si="2"/>
        <v/>
      </c>
      <c r="I10" s="1110" t="str">
        <f t="shared" si="2"/>
        <v/>
      </c>
      <c r="J10" s="1110" t="str">
        <f t="shared" si="2"/>
        <v/>
      </c>
      <c r="K10" s="1110" t="str">
        <f t="shared" si="2"/>
        <v/>
      </c>
      <c r="L10" s="1110" t="str">
        <f t="shared" si="2"/>
        <v/>
      </c>
      <c r="M10" s="1110" t="str">
        <f>IF(AND($B$10&gt;=M8,$B$10&lt;=N8),"↓","")</f>
        <v>↓</v>
      </c>
      <c r="N10" s="94"/>
      <c r="O10" s="94"/>
      <c r="P10" s="94"/>
      <c r="Q10" s="252"/>
      <c r="R10" s="252"/>
      <c r="S10" s="252"/>
      <c r="T10" s="252"/>
      <c r="U10" s="253"/>
      <c r="W10" s="2199"/>
      <c r="X10" s="2197"/>
      <c r="Y10" s="2197"/>
      <c r="Z10" s="2197"/>
      <c r="AA10" s="2197"/>
      <c r="AB10" s="2198"/>
      <c r="AC10" s="215"/>
      <c r="AD10" s="2339"/>
      <c r="AE10" s="2186" t="s">
        <v>903</v>
      </c>
      <c r="AG10" s="633"/>
      <c r="AQ10" s="1073"/>
    </row>
    <row r="11" spans="1:78" ht="15" customHeight="1" x14ac:dyDescent="0.3">
      <c r="A11" s="38"/>
      <c r="B11" s="91"/>
      <c r="C11" s="38"/>
      <c r="D11" s="74"/>
      <c r="E11" s="52"/>
      <c r="F11" s="52"/>
      <c r="G11" s="52"/>
      <c r="H11" s="52"/>
      <c r="I11" s="52"/>
      <c r="J11" s="52"/>
      <c r="K11" s="52"/>
      <c r="L11" s="52"/>
      <c r="M11" s="52"/>
      <c r="N11" s="52"/>
      <c r="O11" s="52"/>
      <c r="P11" s="52"/>
      <c r="Q11" s="252"/>
      <c r="R11" s="252"/>
      <c r="S11" s="252"/>
      <c r="T11" s="252"/>
      <c r="U11" s="253"/>
      <c r="W11" s="2199"/>
      <c r="X11" s="2197"/>
      <c r="Y11" s="2197"/>
      <c r="Z11" s="2197"/>
      <c r="AA11" s="2197"/>
      <c r="AB11" s="2198"/>
      <c r="AC11" s="171"/>
      <c r="AD11" s="2339"/>
      <c r="AE11" s="2186"/>
      <c r="AG11" s="1"/>
      <c r="AQ11" s="427"/>
    </row>
    <row r="12" spans="1:78" ht="15" customHeight="1" x14ac:dyDescent="0.3">
      <c r="A12" s="38"/>
      <c r="B12" s="91"/>
      <c r="C12" s="38"/>
      <c r="D12" s="434" t="s">
        <v>228</v>
      </c>
      <c r="E12" s="96"/>
      <c r="F12" s="96"/>
      <c r="G12" s="96"/>
      <c r="H12" s="96"/>
      <c r="I12" s="96"/>
      <c r="J12" s="96"/>
      <c r="K12" s="96"/>
      <c r="L12" s="96"/>
      <c r="M12" s="52"/>
      <c r="N12" s="52"/>
      <c r="O12" s="52"/>
      <c r="P12" s="52"/>
      <c r="Q12" s="252"/>
      <c r="R12" s="252"/>
      <c r="S12" s="252"/>
      <c r="T12" s="252"/>
      <c r="U12" s="253"/>
      <c r="W12" s="2190" t="str">
        <f>Dashboard!W50</f>
        <v>Identified areas to address</v>
      </c>
      <c r="X12" s="2191"/>
      <c r="Y12" s="2191"/>
      <c r="Z12" s="2191"/>
      <c r="AA12" s="2191"/>
      <c r="AB12" s="2192"/>
      <c r="AC12" s="215"/>
      <c r="AD12" s="2339"/>
      <c r="AE12" s="2186"/>
      <c r="AG12" s="1"/>
      <c r="AQ12" s="427"/>
      <c r="BK12" s="78"/>
      <c r="BL12" s="78"/>
      <c r="BM12" s="78"/>
      <c r="BN12" s="78"/>
      <c r="BO12" s="78"/>
      <c r="BP12" s="78"/>
      <c r="BQ12" s="78"/>
      <c r="BR12" s="78"/>
      <c r="BS12" s="78"/>
      <c r="BT12" s="78"/>
      <c r="BU12" s="78"/>
      <c r="BV12" s="78"/>
      <c r="BW12" s="78"/>
      <c r="BX12" s="78"/>
      <c r="BY12" s="78"/>
      <c r="BZ12" s="78"/>
    </row>
    <row r="13" spans="1:78" s="100" customFormat="1" ht="15" customHeight="1" x14ac:dyDescent="0.3">
      <c r="A13" s="98"/>
      <c r="B13" s="102">
        <f>Admin!J33</f>
        <v>5</v>
      </c>
      <c r="C13" s="98" t="str">
        <f t="shared" ref="C13" si="3">IF(AND($B$12&gt;B8,$B$12&lt;=C8),"↓","")</f>
        <v/>
      </c>
      <c r="D13" s="1119" t="str">
        <f>IF(AND($B$13&gt;=D8,$B$13&lt;E8),"↓","")</f>
        <v/>
      </c>
      <c r="E13" s="1110" t="str">
        <f t="shared" ref="E13:L13" si="4">IF(AND($B$13&gt;=E8,$B$13&lt;F8),"↓","")</f>
        <v/>
      </c>
      <c r="F13" s="1110" t="str">
        <f t="shared" si="4"/>
        <v/>
      </c>
      <c r="G13" s="1110" t="str">
        <f t="shared" si="4"/>
        <v/>
      </c>
      <c r="H13" s="1110" t="str">
        <f t="shared" si="4"/>
        <v/>
      </c>
      <c r="I13" s="1110" t="str">
        <f t="shared" si="4"/>
        <v/>
      </c>
      <c r="J13" s="1110" t="str">
        <f t="shared" si="4"/>
        <v/>
      </c>
      <c r="K13" s="1110" t="str">
        <f t="shared" si="4"/>
        <v/>
      </c>
      <c r="L13" s="1110" t="str">
        <f t="shared" si="4"/>
        <v/>
      </c>
      <c r="M13" s="1110" t="str">
        <f>IF(AND($B$13&gt;=M8,$B$13&lt;=N8),"↓","")</f>
        <v>↓</v>
      </c>
      <c r="N13" s="94"/>
      <c r="O13" s="94"/>
      <c r="P13" s="94"/>
      <c r="Q13" s="252"/>
      <c r="R13" s="252"/>
      <c r="S13" s="252"/>
      <c r="T13" s="252"/>
      <c r="U13" s="253"/>
      <c r="W13" s="2199" t="s">
        <v>41</v>
      </c>
      <c r="X13" s="2197" t="str">
        <f>Dashboard!W87</f>
        <v xml:space="preserve">      .</v>
      </c>
      <c r="Y13" s="2197"/>
      <c r="Z13" s="2197"/>
      <c r="AA13" s="2197"/>
      <c r="AB13" s="2198"/>
      <c r="AC13" s="216"/>
      <c r="AD13" s="2339"/>
      <c r="AE13" s="2186" t="s">
        <v>884</v>
      </c>
      <c r="AF13" s="123"/>
      <c r="AG13" s="633"/>
      <c r="AQ13" s="1073"/>
      <c r="BK13" s="101"/>
      <c r="BL13" s="101"/>
      <c r="BM13" s="101"/>
      <c r="BN13" s="101"/>
      <c r="BO13" s="101"/>
      <c r="BP13" s="101"/>
      <c r="BQ13" s="101"/>
      <c r="BR13" s="101"/>
      <c r="BS13" s="101"/>
      <c r="BT13" s="101"/>
      <c r="BU13" s="101"/>
      <c r="BV13" s="101"/>
      <c r="BW13" s="101"/>
      <c r="BX13" s="101"/>
      <c r="BY13" s="101"/>
      <c r="BZ13" s="101"/>
    </row>
    <row r="14" spans="1:78" s="47" customFormat="1" ht="15" customHeight="1" x14ac:dyDescent="0.3">
      <c r="A14" s="38"/>
      <c r="B14" s="116">
        <f>Admin!J33</f>
        <v>5</v>
      </c>
      <c r="C14" s="38"/>
      <c r="D14" s="74"/>
      <c r="E14" s="52"/>
      <c r="F14" s="52"/>
      <c r="G14" s="52"/>
      <c r="H14" s="52"/>
      <c r="I14" s="52"/>
      <c r="J14" s="52"/>
      <c r="K14" s="52"/>
      <c r="L14" s="52"/>
      <c r="M14" s="52"/>
      <c r="N14" s="52"/>
      <c r="O14" s="52"/>
      <c r="P14" s="52"/>
      <c r="Q14" s="252"/>
      <c r="R14" s="252"/>
      <c r="S14" s="252"/>
      <c r="T14" s="252"/>
      <c r="U14" s="253"/>
      <c r="W14" s="2199"/>
      <c r="X14" s="2197"/>
      <c r="Y14" s="2197"/>
      <c r="Z14" s="2197"/>
      <c r="AA14" s="2197"/>
      <c r="AB14" s="2198"/>
      <c r="AC14" s="216"/>
      <c r="AD14" s="2339"/>
      <c r="AE14" s="2186"/>
      <c r="AF14" s="123"/>
      <c r="AG14" s="1"/>
      <c r="AQ14" s="427"/>
      <c r="BK14" s="78"/>
      <c r="BL14" s="78"/>
      <c r="BM14" s="78"/>
      <c r="BN14" s="78"/>
      <c r="BO14" s="78"/>
      <c r="BP14" s="78"/>
      <c r="BQ14" s="78"/>
      <c r="BR14" s="78"/>
      <c r="BS14" s="78"/>
      <c r="BT14" s="78"/>
      <c r="BU14" s="78"/>
      <c r="BV14" s="78"/>
      <c r="BW14" s="78"/>
      <c r="BX14" s="78"/>
      <c r="BY14" s="78"/>
      <c r="BZ14" s="78"/>
    </row>
    <row r="15" spans="1:78" s="47" customFormat="1" ht="15" customHeight="1" x14ac:dyDescent="0.3">
      <c r="A15" s="38"/>
      <c r="B15" s="116"/>
      <c r="C15" s="38"/>
      <c r="D15" s="74"/>
      <c r="E15" s="52"/>
      <c r="F15" s="52"/>
      <c r="G15" s="52"/>
      <c r="H15" s="52"/>
      <c r="I15" s="52"/>
      <c r="J15" s="52"/>
      <c r="K15" s="52"/>
      <c r="L15" s="52"/>
      <c r="M15" s="52"/>
      <c r="N15" s="52"/>
      <c r="O15" s="52"/>
      <c r="P15" s="52"/>
      <c r="Q15" s="252"/>
      <c r="R15" s="252"/>
      <c r="S15" s="252"/>
      <c r="T15" s="252"/>
      <c r="U15" s="253"/>
      <c r="W15" s="2199"/>
      <c r="X15" s="2197"/>
      <c r="Y15" s="2197"/>
      <c r="Z15" s="2197"/>
      <c r="AA15" s="2197"/>
      <c r="AB15" s="2198"/>
      <c r="AC15" s="216"/>
      <c r="AD15" s="2339"/>
      <c r="AE15" s="2186"/>
      <c r="AF15" s="123"/>
      <c r="AG15" s="1"/>
      <c r="AQ15" s="427"/>
      <c r="BK15" s="78"/>
      <c r="BL15" s="78"/>
      <c r="BM15" s="78"/>
      <c r="BN15" s="78"/>
      <c r="BO15" s="78"/>
      <c r="BP15" s="78"/>
      <c r="BQ15" s="78"/>
      <c r="BR15" s="78"/>
      <c r="BS15" s="78"/>
      <c r="BT15" s="78"/>
      <c r="BU15" s="78"/>
      <c r="BV15" s="78"/>
      <c r="BW15" s="78"/>
      <c r="BX15" s="78"/>
      <c r="BY15" s="78"/>
      <c r="BZ15" s="78"/>
    </row>
    <row r="16" spans="1:78" s="47" customFormat="1" ht="15" customHeight="1" x14ac:dyDescent="0.3">
      <c r="A16" s="38"/>
      <c r="B16" s="91"/>
      <c r="C16" s="38"/>
      <c r="D16" s="2336" t="s">
        <v>229</v>
      </c>
      <c r="E16" s="2337"/>
      <c r="F16" s="2337"/>
      <c r="G16" s="2337"/>
      <c r="H16" s="2337"/>
      <c r="I16" s="2337"/>
      <c r="J16" s="2337"/>
      <c r="K16" s="2337"/>
      <c r="L16" s="2337"/>
      <c r="M16" s="52"/>
      <c r="N16" s="52"/>
      <c r="O16" s="52"/>
      <c r="P16" s="52"/>
      <c r="Q16" s="252"/>
      <c r="R16" s="252"/>
      <c r="S16" s="252"/>
      <c r="T16" s="252"/>
      <c r="U16" s="253"/>
      <c r="W16" s="2199"/>
      <c r="X16" s="2197"/>
      <c r="Y16" s="2197"/>
      <c r="Z16" s="2197"/>
      <c r="AA16" s="2197"/>
      <c r="AB16" s="2198"/>
      <c r="AC16" s="215"/>
      <c r="AD16" s="215"/>
      <c r="AE16" s="124"/>
      <c r="AF16" s="123"/>
      <c r="AG16" s="1"/>
      <c r="AQ16" s="427"/>
      <c r="BK16" s="78"/>
      <c r="BL16" s="78"/>
      <c r="BM16" s="78"/>
      <c r="BN16" s="78"/>
      <c r="BO16" s="78"/>
      <c r="BP16" s="78"/>
      <c r="BQ16" s="78"/>
      <c r="BR16" s="78"/>
      <c r="BS16" s="78"/>
      <c r="BT16" s="78"/>
      <c r="BU16" s="78"/>
      <c r="BV16" s="78"/>
      <c r="BW16" s="78"/>
      <c r="BX16" s="78"/>
      <c r="BY16" s="78"/>
      <c r="BZ16" s="78"/>
    </row>
    <row r="17" spans="1:78" s="100" customFormat="1" ht="15" customHeight="1" x14ac:dyDescent="0.3">
      <c r="A17" s="98"/>
      <c r="B17" s="102">
        <f>Admin!J34</f>
        <v>5</v>
      </c>
      <c r="C17" s="98" t="str">
        <f t="shared" ref="C17" si="5">IF(AND($B$17&gt;B8,$B$17&lt;=C8),"↓","")</f>
        <v/>
      </c>
      <c r="D17" s="1119" t="str">
        <f>IF(AND($B$17&gt;=D8,$B$17&lt;E8),"↓","")</f>
        <v/>
      </c>
      <c r="E17" s="1110" t="str">
        <f t="shared" ref="E17:L17" si="6">IF(AND($B$17&gt;=E8,$B$17&lt;F8),"↓","")</f>
        <v/>
      </c>
      <c r="F17" s="1110" t="str">
        <f t="shared" si="6"/>
        <v/>
      </c>
      <c r="G17" s="1110" t="str">
        <f t="shared" si="6"/>
        <v/>
      </c>
      <c r="H17" s="1110" t="str">
        <f t="shared" si="6"/>
        <v/>
      </c>
      <c r="I17" s="1110" t="str">
        <f t="shared" si="6"/>
        <v/>
      </c>
      <c r="J17" s="1110" t="str">
        <f t="shared" si="6"/>
        <v/>
      </c>
      <c r="K17" s="1110" t="str">
        <f t="shared" si="6"/>
        <v/>
      </c>
      <c r="L17" s="1110" t="str">
        <f t="shared" si="6"/>
        <v/>
      </c>
      <c r="M17" s="1110" t="str">
        <f>IF(AND($B$17&gt;=M8,$B$17&lt;=N8),"↓","")</f>
        <v>↓</v>
      </c>
      <c r="N17" s="94"/>
      <c r="O17" s="94"/>
      <c r="P17" s="94"/>
      <c r="Q17" s="252"/>
      <c r="R17" s="252"/>
      <c r="S17" s="252"/>
      <c r="T17" s="252"/>
      <c r="U17" s="253"/>
      <c r="W17" s="2199"/>
      <c r="X17" s="2197"/>
      <c r="Y17" s="2197"/>
      <c r="Z17" s="2197"/>
      <c r="AA17" s="2197"/>
      <c r="AB17" s="2198"/>
      <c r="AC17" s="215"/>
      <c r="AD17" s="215"/>
      <c r="AE17" s="124"/>
      <c r="AF17" s="123"/>
      <c r="AG17" s="633"/>
      <c r="AQ17" s="1073"/>
      <c r="BK17" s="101"/>
      <c r="BL17" s="101"/>
      <c r="BM17" s="101"/>
      <c r="BN17" s="101"/>
      <c r="BO17" s="101"/>
      <c r="BP17" s="101"/>
      <c r="BQ17" s="101"/>
      <c r="BR17" s="101"/>
      <c r="BS17" s="101"/>
      <c r="BT17" s="101"/>
      <c r="BU17" s="101"/>
      <c r="BV17" s="101"/>
      <c r="BW17" s="101"/>
      <c r="BX17" s="101"/>
      <c r="BY17" s="101"/>
      <c r="BZ17" s="101"/>
    </row>
    <row r="18" spans="1:78" s="47" customFormat="1" ht="15" customHeight="1" x14ac:dyDescent="0.3">
      <c r="A18" s="38"/>
      <c r="B18" s="91"/>
      <c r="C18" s="38"/>
      <c r="D18" s="74"/>
      <c r="E18" s="52"/>
      <c r="F18" s="52"/>
      <c r="G18" s="52"/>
      <c r="H18" s="52"/>
      <c r="I18" s="52"/>
      <c r="J18" s="52"/>
      <c r="K18" s="52"/>
      <c r="L18" s="52"/>
      <c r="M18" s="52"/>
      <c r="N18" s="52"/>
      <c r="O18" s="52"/>
      <c r="P18" s="2340" t="str">
        <f>'Data Analysis'!F498</f>
        <v>Very Strong</v>
      </c>
      <c r="Q18" s="2340"/>
      <c r="R18" s="2340"/>
      <c r="S18" s="1264"/>
      <c r="T18" s="2338">
        <f>'Data Analysis'!E498</f>
        <v>5.0000000000000009</v>
      </c>
      <c r="U18" s="253"/>
      <c r="W18" s="2199"/>
      <c r="X18" s="2197"/>
      <c r="Y18" s="2197"/>
      <c r="Z18" s="2197"/>
      <c r="AA18" s="2197"/>
      <c r="AB18" s="2198"/>
      <c r="AC18" s="215"/>
      <c r="AD18" s="215"/>
      <c r="AE18" s="124"/>
      <c r="AF18" s="123"/>
      <c r="AG18" s="1"/>
      <c r="AQ18" s="427"/>
      <c r="BK18" s="78"/>
      <c r="BL18" s="78"/>
      <c r="BM18" s="78"/>
      <c r="BN18" s="78"/>
      <c r="BO18" s="78"/>
      <c r="BP18" s="78"/>
      <c r="BQ18" s="78"/>
      <c r="BR18" s="78"/>
      <c r="BS18" s="78"/>
      <c r="BT18" s="78"/>
      <c r="BU18" s="78"/>
      <c r="BV18" s="78"/>
      <c r="BW18" s="78"/>
      <c r="BX18" s="78"/>
      <c r="BY18" s="78"/>
      <c r="BZ18" s="78"/>
    </row>
    <row r="19" spans="1:78" s="47" customFormat="1" ht="15" customHeight="1" x14ac:dyDescent="0.3">
      <c r="A19" s="38"/>
      <c r="B19" s="91"/>
      <c r="C19" s="38"/>
      <c r="D19" s="74"/>
      <c r="E19" s="52"/>
      <c r="F19" s="52"/>
      <c r="G19" s="52"/>
      <c r="H19" s="52"/>
      <c r="I19" s="52"/>
      <c r="J19" s="52"/>
      <c r="K19" s="52"/>
      <c r="L19" s="52"/>
      <c r="M19" s="52"/>
      <c r="N19" s="52"/>
      <c r="O19" s="52"/>
      <c r="P19" s="2340"/>
      <c r="Q19" s="2340"/>
      <c r="R19" s="2340"/>
      <c r="S19" s="1264"/>
      <c r="T19" s="2338"/>
      <c r="U19" s="253"/>
      <c r="W19" s="2187" t="s">
        <v>302</v>
      </c>
      <c r="X19" s="2188"/>
      <c r="Y19" s="2188"/>
      <c r="Z19" s="2188"/>
      <c r="AA19" s="2188"/>
      <c r="AB19" s="2189"/>
      <c r="AC19" s="215"/>
      <c r="AD19" s="215"/>
      <c r="AE19" s="124"/>
      <c r="AF19" s="123"/>
      <c r="AG19" s="1"/>
      <c r="AQ19" s="427"/>
      <c r="BK19" s="78"/>
      <c r="BL19" s="78"/>
      <c r="BM19" s="78"/>
      <c r="BN19" s="78"/>
      <c r="BO19" s="78"/>
      <c r="BP19" s="78"/>
      <c r="BQ19" s="78"/>
      <c r="BR19" s="78"/>
      <c r="BS19" s="78"/>
      <c r="BT19" s="78"/>
      <c r="BU19" s="78"/>
      <c r="BV19" s="78"/>
      <c r="BW19" s="78"/>
      <c r="BX19" s="78"/>
      <c r="BY19" s="78"/>
      <c r="BZ19" s="78"/>
    </row>
    <row r="20" spans="1:78" s="47" customFormat="1" ht="15" customHeight="1" x14ac:dyDescent="0.3">
      <c r="A20" s="38"/>
      <c r="B20" s="91"/>
      <c r="C20" s="38"/>
      <c r="D20" s="74"/>
      <c r="E20" s="52"/>
      <c r="F20" s="52"/>
      <c r="G20" s="52"/>
      <c r="H20" s="52"/>
      <c r="I20" s="52"/>
      <c r="J20" s="52"/>
      <c r="K20" s="52"/>
      <c r="L20" s="52"/>
      <c r="M20" s="52"/>
      <c r="N20" s="52"/>
      <c r="O20" s="52"/>
      <c r="P20" s="2340"/>
      <c r="Q20" s="2340"/>
      <c r="R20" s="2340"/>
      <c r="S20" s="1264"/>
      <c r="T20" s="2338"/>
      <c r="U20" s="253"/>
      <c r="W20" s="92"/>
      <c r="X20" s="267" t="s">
        <v>274</v>
      </c>
      <c r="Y20" s="314"/>
      <c r="Z20" s="314"/>
      <c r="AA20" s="318">
        <f>Dashboard!O88</f>
        <v>0</v>
      </c>
      <c r="AB20" s="406">
        <f>Dashboard!P53</f>
        <v>0</v>
      </c>
      <c r="AC20" s="215"/>
      <c r="AD20" s="215"/>
      <c r="AE20" s="124"/>
      <c r="AF20" s="123"/>
      <c r="AG20" s="1"/>
      <c r="AQ20" s="427"/>
      <c r="BK20" s="78"/>
      <c r="BL20" s="78"/>
      <c r="BM20" s="78"/>
      <c r="BN20" s="78"/>
      <c r="BO20" s="78"/>
      <c r="BP20" s="78"/>
      <c r="BQ20" s="78"/>
      <c r="BR20" s="78"/>
      <c r="BS20" s="78"/>
      <c r="BT20" s="78"/>
      <c r="BU20" s="78"/>
      <c r="BV20" s="78"/>
      <c r="BW20" s="78"/>
      <c r="BX20" s="78"/>
      <c r="BY20" s="78"/>
      <c r="BZ20" s="78"/>
    </row>
    <row r="21" spans="1:78" s="47" customFormat="1" ht="15" customHeight="1" x14ac:dyDescent="0.3">
      <c r="A21" s="38"/>
      <c r="B21" s="91"/>
      <c r="C21" s="38"/>
      <c r="D21" s="74"/>
      <c r="E21" s="52"/>
      <c r="F21" s="52"/>
      <c r="G21" s="52"/>
      <c r="H21" s="52"/>
      <c r="I21" s="52"/>
      <c r="J21" s="52"/>
      <c r="K21" s="52"/>
      <c r="L21" s="52"/>
      <c r="M21" s="52"/>
      <c r="N21" s="52"/>
      <c r="O21" s="52"/>
      <c r="P21" s="52"/>
      <c r="Q21" s="252"/>
      <c r="R21" s="252"/>
      <c r="S21" s="252"/>
      <c r="T21" s="252"/>
      <c r="U21" s="253"/>
      <c r="W21" s="246"/>
      <c r="X21" s="267" t="s">
        <v>275</v>
      </c>
      <c r="Y21" s="314"/>
      <c r="Z21" s="314"/>
      <c r="AA21" s="318">
        <f>Dashboard!O89</f>
        <v>0</v>
      </c>
      <c r="AB21" s="406">
        <f>Dashboard!P54</f>
        <v>0</v>
      </c>
      <c r="AC21" s="215"/>
      <c r="AD21" s="215"/>
      <c r="AE21" s="124"/>
      <c r="AF21" s="123"/>
      <c r="AG21" s="1"/>
      <c r="AQ21" s="427"/>
      <c r="BK21" s="78"/>
      <c r="BL21" s="78"/>
      <c r="BM21" s="78"/>
      <c r="BN21" s="78"/>
      <c r="BO21" s="78"/>
      <c r="BP21" s="78"/>
      <c r="BQ21" s="78"/>
      <c r="BR21" s="78"/>
      <c r="BS21" s="78"/>
      <c r="BT21" s="78"/>
      <c r="BU21" s="78"/>
      <c r="BV21" s="78"/>
      <c r="BW21" s="78"/>
      <c r="BX21" s="78"/>
      <c r="BY21" s="78"/>
      <c r="BZ21" s="78"/>
    </row>
    <row r="22" spans="1:78" s="13" customFormat="1" ht="15.6" x14ac:dyDescent="0.3">
      <c r="A22" s="38"/>
      <c r="B22" s="91"/>
      <c r="C22" s="38"/>
      <c r="D22" s="74"/>
      <c r="E22" s="52"/>
      <c r="F22" s="52"/>
      <c r="G22" s="52"/>
      <c r="H22" s="52"/>
      <c r="I22" s="52"/>
      <c r="J22" s="52"/>
      <c r="K22" s="52"/>
      <c r="L22" s="52"/>
      <c r="M22" s="52"/>
      <c r="N22" s="52"/>
      <c r="O22" s="52"/>
      <c r="P22" s="52"/>
      <c r="Q22" s="252"/>
      <c r="R22" s="252"/>
      <c r="S22" s="252"/>
      <c r="T22" s="252"/>
      <c r="U22" s="253"/>
      <c r="V22" s="109"/>
      <c r="W22" s="246"/>
      <c r="X22" s="267" t="s">
        <v>472</v>
      </c>
      <c r="Y22" s="314"/>
      <c r="Z22" s="314"/>
      <c r="AA22" s="1846">
        <f>'Data Analysis'!T267</f>
        <v>0</v>
      </c>
      <c r="AB22" s="187">
        <f>Dashboard!P55</f>
        <v>0</v>
      </c>
      <c r="AE22" s="124"/>
      <c r="AF22" s="123"/>
      <c r="AG22" s="625"/>
      <c r="AQ22" s="430"/>
      <c r="BK22" s="110"/>
      <c r="BL22" s="110"/>
      <c r="BM22" s="110"/>
      <c r="BN22" s="110"/>
      <c r="BO22" s="110"/>
      <c r="BP22" s="110"/>
      <c r="BQ22" s="110"/>
      <c r="BR22" s="110"/>
      <c r="BS22" s="110"/>
      <c r="BT22" s="110"/>
      <c r="BU22" s="110"/>
      <c r="BV22" s="110"/>
      <c r="BW22" s="110"/>
      <c r="BX22" s="110"/>
      <c r="BY22" s="110"/>
      <c r="BZ22" s="110"/>
    </row>
    <row r="23" spans="1:78" s="13" customFormat="1" ht="15.6" x14ac:dyDescent="0.3">
      <c r="A23" s="38"/>
      <c r="B23" s="91"/>
      <c r="C23" s="38"/>
      <c r="D23" s="74"/>
      <c r="E23" s="52"/>
      <c r="F23" s="52"/>
      <c r="G23" s="52"/>
      <c r="H23" s="52"/>
      <c r="I23" s="52"/>
      <c r="J23" s="52"/>
      <c r="K23" s="52"/>
      <c r="L23" s="52"/>
      <c r="M23" s="52"/>
      <c r="N23" s="52"/>
      <c r="O23" s="52"/>
      <c r="P23" s="52"/>
      <c r="Q23" s="252"/>
      <c r="R23" s="252"/>
      <c r="S23" s="252"/>
      <c r="T23" s="252"/>
      <c r="U23" s="253"/>
      <c r="V23" s="38"/>
      <c r="W23" s="246"/>
      <c r="X23" s="267" t="s">
        <v>485</v>
      </c>
      <c r="Y23" s="314"/>
      <c r="Z23" s="314"/>
      <c r="AA23" s="1846">
        <f>'Data Analysis'!T269</f>
        <v>0</v>
      </c>
      <c r="AB23" s="187"/>
      <c r="AE23" s="124"/>
      <c r="AF23" s="123"/>
      <c r="AG23" s="625"/>
      <c r="AQ23" s="430"/>
      <c r="BK23" s="110"/>
      <c r="BL23" s="110"/>
      <c r="BM23" s="110"/>
      <c r="BN23" s="110"/>
      <c r="BO23" s="110"/>
      <c r="BP23" s="110"/>
      <c r="BQ23" s="110"/>
      <c r="BR23" s="110"/>
      <c r="BS23" s="110"/>
      <c r="BT23" s="110"/>
      <c r="BU23" s="110"/>
      <c r="BV23" s="110"/>
      <c r="BW23" s="110"/>
      <c r="BX23" s="110"/>
      <c r="BY23" s="110"/>
      <c r="BZ23" s="110"/>
    </row>
    <row r="24" spans="1:78" s="13" customFormat="1" ht="16.2" thickBot="1" x14ac:dyDescent="0.35">
      <c r="A24" s="38"/>
      <c r="D24" s="2333"/>
      <c r="E24" s="2334"/>
      <c r="F24" s="2334"/>
      <c r="G24" s="2334"/>
      <c r="H24" s="2334"/>
      <c r="I24" s="2334"/>
      <c r="J24" s="2334"/>
      <c r="K24" s="2334"/>
      <c r="L24" s="2334"/>
      <c r="M24" s="2334"/>
      <c r="N24" s="2334"/>
      <c r="O24" s="2334"/>
      <c r="P24" s="2334"/>
      <c r="Q24" s="2334"/>
      <c r="R24" s="2334"/>
      <c r="S24" s="2334"/>
      <c r="T24" s="2334"/>
      <c r="U24" s="2335"/>
      <c r="V24" s="38"/>
      <c r="W24" s="268"/>
      <c r="X24" s="1842" t="s">
        <v>486</v>
      </c>
      <c r="Y24" s="1843"/>
      <c r="Z24" s="1843"/>
      <c r="AA24" s="1847">
        <f>'Data Analysis'!T268</f>
        <v>0</v>
      </c>
      <c r="AB24" s="405"/>
      <c r="AE24" s="124"/>
      <c r="AF24" s="123"/>
      <c r="AG24" s="625"/>
      <c r="AQ24" s="430"/>
      <c r="BK24" s="110"/>
      <c r="BL24" s="110"/>
      <c r="BM24" s="110"/>
      <c r="BN24" s="110"/>
      <c r="BO24" s="110"/>
      <c r="BP24" s="110"/>
      <c r="BQ24" s="110"/>
      <c r="BR24" s="110"/>
      <c r="BS24" s="110"/>
      <c r="BT24" s="110"/>
      <c r="BU24" s="110"/>
      <c r="BV24" s="110"/>
      <c r="BW24" s="110"/>
      <c r="BX24" s="110"/>
      <c r="BY24" s="110"/>
      <c r="BZ24" s="110"/>
    </row>
    <row r="25" spans="1:78" ht="18.75" customHeight="1" x14ac:dyDescent="0.3">
      <c r="A25" s="36"/>
      <c r="B25" s="38"/>
      <c r="C25" s="38"/>
      <c r="V25" s="38"/>
      <c r="W25" s="38"/>
      <c r="X25" s="38"/>
      <c r="Y25" s="38"/>
      <c r="Z25" s="38"/>
      <c r="AA25" s="38"/>
      <c r="AB25" s="38"/>
      <c r="AC25" s="13"/>
      <c r="AE25" s="124"/>
      <c r="AF25" s="123"/>
      <c r="AG25" s="1"/>
      <c r="AQ25" s="427"/>
      <c r="BK25" s="78"/>
      <c r="BL25" s="78"/>
      <c r="BM25" s="78"/>
      <c r="BN25" s="78"/>
      <c r="BO25" s="78"/>
      <c r="BP25" s="78"/>
      <c r="BQ25" s="78"/>
      <c r="BR25" s="78"/>
      <c r="BS25" s="78"/>
      <c r="BT25" s="78"/>
      <c r="BU25" s="78"/>
      <c r="BV25" s="78"/>
      <c r="BW25" s="78"/>
      <c r="BX25" s="78"/>
      <c r="BY25" s="78"/>
      <c r="BZ25" s="78"/>
    </row>
    <row r="26" spans="1:78" x14ac:dyDescent="0.3">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G26" s="1"/>
      <c r="AQ26" s="427"/>
      <c r="BK26" s="78"/>
      <c r="BL26" s="78"/>
      <c r="BM26" s="78"/>
      <c r="BN26" s="78"/>
      <c r="BO26" s="78"/>
      <c r="BP26" s="78"/>
      <c r="BQ26" s="78"/>
      <c r="BR26" s="78"/>
      <c r="BS26" s="78"/>
      <c r="BT26" s="78"/>
      <c r="BU26" s="78"/>
      <c r="BV26" s="78"/>
      <c r="BW26" s="78"/>
      <c r="BX26" s="78"/>
      <c r="BY26" s="78"/>
      <c r="BZ26" s="78"/>
    </row>
    <row r="27" spans="1:78" ht="6" customHeight="1" x14ac:dyDescent="0.3">
      <c r="A27" s="36"/>
      <c r="B27" s="221"/>
      <c r="C27" s="221"/>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1"/>
      <c r="AQ27" s="427"/>
      <c r="BK27" s="78"/>
      <c r="BL27" s="78"/>
      <c r="BM27" s="78"/>
      <c r="BN27" s="78"/>
      <c r="BO27" s="78"/>
      <c r="BP27" s="78"/>
      <c r="BQ27" s="78"/>
      <c r="BR27" s="78"/>
      <c r="BS27" s="78"/>
      <c r="BT27" s="78"/>
      <c r="BU27" s="78"/>
      <c r="BV27" s="78"/>
      <c r="BW27" s="78"/>
      <c r="BX27" s="78"/>
      <c r="BY27" s="78"/>
      <c r="BZ27" s="78"/>
    </row>
    <row r="28" spans="1:78" ht="19.5" customHeight="1" x14ac:dyDescent="0.3">
      <c r="A28" s="36"/>
      <c r="B28" s="567" t="s">
        <v>31</v>
      </c>
      <c r="C28" s="567"/>
      <c r="D28" s="568" t="s">
        <v>91</v>
      </c>
      <c r="E28" s="567"/>
      <c r="F28" s="567"/>
      <c r="G28" s="567"/>
      <c r="H28" s="567"/>
      <c r="I28" s="567"/>
      <c r="J28" s="567"/>
      <c r="K28" s="567"/>
      <c r="L28" s="567"/>
      <c r="M28" s="567"/>
      <c r="N28" s="567"/>
      <c r="O28" s="567"/>
      <c r="P28" s="567"/>
      <c r="Q28" s="567"/>
      <c r="R28" s="567"/>
      <c r="S28" s="567"/>
      <c r="T28" s="567"/>
      <c r="U28" s="567"/>
      <c r="V28" s="567"/>
      <c r="W28" s="567"/>
      <c r="X28" s="567"/>
      <c r="Y28" s="569"/>
      <c r="Z28" s="569"/>
      <c r="AA28" s="567" t="s">
        <v>32</v>
      </c>
      <c r="AB28" s="2268" t="s">
        <v>115</v>
      </c>
      <c r="AC28" s="2268"/>
      <c r="AD28" s="2268"/>
      <c r="AE28" s="2268"/>
      <c r="AF28" s="2268"/>
      <c r="AG28" s="1"/>
      <c r="AQ28" s="427"/>
      <c r="BK28" s="78"/>
      <c r="BL28" s="78"/>
      <c r="BM28" s="78"/>
      <c r="BN28" s="78"/>
      <c r="BO28" s="78"/>
      <c r="BP28" s="78"/>
      <c r="BQ28" s="78"/>
      <c r="BR28" s="78"/>
      <c r="BS28" s="78"/>
      <c r="BT28" s="78"/>
      <c r="BU28" s="78"/>
      <c r="BV28" s="78"/>
      <c r="BW28" s="78"/>
      <c r="BX28" s="78"/>
      <c r="BY28" s="78"/>
      <c r="BZ28" s="78"/>
    </row>
    <row r="29" spans="1:78" ht="18.75" customHeight="1" x14ac:dyDescent="0.35">
      <c r="A29" s="36"/>
      <c r="B29" s="716">
        <v>1</v>
      </c>
      <c r="C29" s="573"/>
      <c r="D29" s="2171" t="s">
        <v>85</v>
      </c>
      <c r="E29" s="2171"/>
      <c r="F29" s="2171"/>
      <c r="G29" s="2171"/>
      <c r="H29" s="2171"/>
      <c r="I29" s="2171"/>
      <c r="J29" s="2171"/>
      <c r="K29" s="2171"/>
      <c r="L29" s="2171"/>
      <c r="M29" s="574"/>
      <c r="N29" s="574"/>
      <c r="O29" s="574"/>
      <c r="P29" s="574"/>
      <c r="Q29" s="574"/>
      <c r="R29" s="574"/>
      <c r="S29" s="574"/>
      <c r="T29" s="574"/>
      <c r="U29" s="574"/>
      <c r="V29" s="574"/>
      <c r="W29" s="574"/>
      <c r="X29" s="574"/>
      <c r="Y29" s="574"/>
      <c r="Z29" s="574"/>
      <c r="AA29" s="575" t="str">
        <f>IF(D30=0,"Not Applicable","")</f>
        <v/>
      </c>
      <c r="AB29" s="2321"/>
      <c r="AC29" s="2321"/>
      <c r="AD29" s="2321"/>
      <c r="AE29" s="2321"/>
      <c r="AF29" s="2321"/>
      <c r="AG29" s="1"/>
      <c r="AQ29" s="427"/>
    </row>
    <row r="30" spans="1:78" ht="15" customHeight="1" x14ac:dyDescent="0.3">
      <c r="A30" s="36"/>
      <c r="B30" s="717" t="s">
        <v>63</v>
      </c>
      <c r="C30" s="24" t="str">
        <f>Questions!C158</f>
        <v>IAA1</v>
      </c>
      <c r="D30" s="2332" t="str">
        <f>VLOOKUP(C30,Questions!$C$3:$H$171,6,FALSE)</f>
        <v>Is there a PPP focal point within the contracting agency?</v>
      </c>
      <c r="E30" s="2332"/>
      <c r="F30" s="2332"/>
      <c r="G30" s="2332"/>
      <c r="H30" s="2332"/>
      <c r="I30" s="2332"/>
      <c r="J30" s="2332"/>
      <c r="K30" s="2332"/>
      <c r="L30" s="2332"/>
      <c r="M30" s="2332"/>
      <c r="N30" s="2332"/>
      <c r="O30" s="2332"/>
      <c r="P30" s="2332"/>
      <c r="Q30" s="2332"/>
      <c r="R30" s="2332"/>
      <c r="S30" s="2332"/>
      <c r="T30" s="2332"/>
      <c r="U30" s="2332"/>
      <c r="V30" s="2332"/>
      <c r="W30" s="2332"/>
      <c r="X30" s="2332"/>
      <c r="Y30" s="2332"/>
      <c r="Z30" s="2332"/>
      <c r="AA30" s="1744" t="s">
        <v>34</v>
      </c>
      <c r="AB30" s="2322"/>
      <c r="AC30" s="2322"/>
      <c r="AD30" s="2322"/>
      <c r="AE30" s="2322"/>
      <c r="AF30" s="2322"/>
      <c r="AG30" s="1"/>
      <c r="AQ30" s="427"/>
    </row>
    <row r="31" spans="1:78" ht="15" customHeight="1" x14ac:dyDescent="0.3">
      <c r="A31" s="36"/>
      <c r="B31" s="717" t="s">
        <v>64</v>
      </c>
      <c r="C31" s="24" t="str">
        <f>Questions!C159</f>
        <v>IAA2</v>
      </c>
      <c r="D31" s="2332" t="str">
        <f>VLOOKUP(C31,Questions!$C$3:$H$171,6,FALSE)</f>
        <v>Does the contracting agency have the capacity to manage the PPP project preparation and procurement processes?</v>
      </c>
      <c r="E31" s="2332"/>
      <c r="F31" s="2332"/>
      <c r="G31" s="2332"/>
      <c r="H31" s="2332"/>
      <c r="I31" s="2332"/>
      <c r="J31" s="2332"/>
      <c r="K31" s="2332"/>
      <c r="L31" s="2332"/>
      <c r="M31" s="2332"/>
      <c r="N31" s="2332"/>
      <c r="O31" s="2332"/>
      <c r="P31" s="2332"/>
      <c r="Q31" s="2332"/>
      <c r="R31" s="2332"/>
      <c r="S31" s="2332"/>
      <c r="T31" s="2332"/>
      <c r="U31" s="2332"/>
      <c r="V31" s="2332"/>
      <c r="W31" s="2332"/>
      <c r="X31" s="2332"/>
      <c r="Y31" s="2332"/>
      <c r="Z31" s="2332"/>
      <c r="AA31" s="1744" t="s">
        <v>34</v>
      </c>
      <c r="AB31" s="2323"/>
      <c r="AC31" s="2323"/>
      <c r="AD31" s="2323"/>
      <c r="AE31" s="2323"/>
      <c r="AF31" s="2323"/>
      <c r="AG31" s="1"/>
      <c r="AQ31" s="427"/>
    </row>
    <row r="32" spans="1:78" ht="15" customHeight="1" x14ac:dyDescent="0.3">
      <c r="A32" s="36"/>
      <c r="B32" s="717" t="s">
        <v>65</v>
      </c>
      <c r="C32" s="24" t="str">
        <f>Questions!C160</f>
        <v>IAA3</v>
      </c>
      <c r="D32" s="2332" t="str">
        <f>VLOOKUP(C32,Questions!$C$3:$H$171,6,FALSE)</f>
        <v>Does the contracting agency or its key personnel have previous experience with PPPs?</v>
      </c>
      <c r="E32" s="2332"/>
      <c r="F32" s="2332"/>
      <c r="G32" s="2332"/>
      <c r="H32" s="2332"/>
      <c r="I32" s="2332"/>
      <c r="J32" s="2332"/>
      <c r="K32" s="2332"/>
      <c r="L32" s="2332"/>
      <c r="M32" s="2332"/>
      <c r="N32" s="2332"/>
      <c r="O32" s="2332"/>
      <c r="P32" s="2332"/>
      <c r="Q32" s="2332"/>
      <c r="R32" s="2332"/>
      <c r="S32" s="2332"/>
      <c r="T32" s="2332"/>
      <c r="U32" s="2332"/>
      <c r="V32" s="2332"/>
      <c r="W32" s="2332"/>
      <c r="X32" s="2332"/>
      <c r="Y32" s="2332"/>
      <c r="Z32" s="2332"/>
      <c r="AA32" s="1744" t="s">
        <v>34</v>
      </c>
      <c r="AB32" s="2323"/>
      <c r="AC32" s="2323"/>
      <c r="AD32" s="2323"/>
      <c r="AE32" s="2323"/>
      <c r="AF32" s="2323"/>
      <c r="AG32" s="1"/>
      <c r="AQ32" s="427"/>
    </row>
    <row r="33" spans="1:43" ht="15" customHeight="1" x14ac:dyDescent="0.3">
      <c r="A33" s="36"/>
      <c r="B33" s="717" t="s">
        <v>66</v>
      </c>
      <c r="C33" s="24" t="str">
        <f>Questions!C161</f>
        <v>IAA4</v>
      </c>
      <c r="D33" s="2332" t="str">
        <f>VLOOKUP(C33,Questions!$C$3:$H$171,6,FALSE)</f>
        <v>Will the contracting agency have access to transaction advisors and/or consultants for project preparation and procurement?</v>
      </c>
      <c r="E33" s="2332"/>
      <c r="F33" s="2332"/>
      <c r="G33" s="2332"/>
      <c r="H33" s="2332"/>
      <c r="I33" s="2332"/>
      <c r="J33" s="2332"/>
      <c r="K33" s="2332"/>
      <c r="L33" s="2332"/>
      <c r="M33" s="2332"/>
      <c r="N33" s="2332"/>
      <c r="O33" s="2332"/>
      <c r="P33" s="2332"/>
      <c r="Q33" s="2332"/>
      <c r="R33" s="2332"/>
      <c r="S33" s="2332"/>
      <c r="T33" s="2332"/>
      <c r="U33" s="2332"/>
      <c r="V33" s="2332"/>
      <c r="W33" s="2332"/>
      <c r="X33" s="2332"/>
      <c r="Y33" s="2332"/>
      <c r="Z33" s="2332"/>
      <c r="AA33" s="1744" t="s">
        <v>34</v>
      </c>
      <c r="AB33" s="2323"/>
      <c r="AC33" s="2323"/>
      <c r="AD33" s="2323"/>
      <c r="AE33" s="2323"/>
      <c r="AF33" s="2323"/>
      <c r="AG33" s="1"/>
      <c r="AQ33" s="427"/>
    </row>
    <row r="34" spans="1:43" s="47" customFormat="1" ht="5.25" customHeight="1" x14ac:dyDescent="0.3">
      <c r="B34" s="13"/>
      <c r="C34" s="48"/>
      <c r="D34" s="79"/>
      <c r="E34" s="13"/>
      <c r="F34" s="13"/>
      <c r="G34" s="13"/>
      <c r="H34" s="13"/>
      <c r="I34" s="13"/>
      <c r="J34" s="13"/>
      <c r="K34" s="13"/>
      <c r="L34" s="13"/>
      <c r="M34" s="13"/>
      <c r="N34" s="13"/>
      <c r="O34" s="13"/>
      <c r="P34" s="13"/>
      <c r="Q34" s="13"/>
      <c r="R34" s="13"/>
      <c r="S34" s="13"/>
      <c r="T34" s="13"/>
      <c r="U34" s="13"/>
      <c r="V34" s="13"/>
      <c r="W34" s="13"/>
      <c r="X34" s="13"/>
      <c r="Y34" s="13"/>
      <c r="Z34" s="13"/>
      <c r="AA34" s="13"/>
      <c r="AB34" s="2329"/>
      <c r="AC34" s="2329"/>
      <c r="AD34" s="2329"/>
      <c r="AE34" s="2329"/>
      <c r="AF34" s="2329"/>
      <c r="AG34" s="1"/>
      <c r="AQ34" s="427"/>
    </row>
    <row r="35" spans="1:43" ht="15" customHeight="1" x14ac:dyDescent="0.35">
      <c r="A35" s="36"/>
      <c r="B35" s="145">
        <v>2</v>
      </c>
      <c r="C35" s="142"/>
      <c r="D35" s="1156" t="s">
        <v>86</v>
      </c>
      <c r="E35" s="1156"/>
      <c r="F35" s="1156"/>
      <c r="G35" s="1156"/>
      <c r="H35" s="1156"/>
      <c r="I35" s="1156"/>
      <c r="J35" s="1156"/>
      <c r="K35" s="1156"/>
      <c r="L35" s="1156"/>
      <c r="M35" s="1156"/>
      <c r="N35" s="1156"/>
      <c r="O35" s="1156"/>
      <c r="P35" s="1156"/>
      <c r="Q35" s="1156"/>
      <c r="R35" s="1156"/>
      <c r="S35" s="1156"/>
      <c r="T35" s="1156"/>
      <c r="U35" s="1156"/>
      <c r="V35" s="1156"/>
      <c r="W35" s="1156"/>
      <c r="X35" s="1156"/>
      <c r="Y35" s="1156"/>
      <c r="Z35" s="1156"/>
      <c r="AA35" s="575" t="str">
        <f>IF(D36=0,"Not Applicable","")</f>
        <v/>
      </c>
      <c r="AB35" s="2321"/>
      <c r="AC35" s="2321"/>
      <c r="AD35" s="2321"/>
      <c r="AE35" s="2321"/>
      <c r="AF35" s="2321"/>
      <c r="AG35" s="1"/>
      <c r="AQ35" s="427"/>
    </row>
    <row r="36" spans="1:43" ht="15" customHeight="1" x14ac:dyDescent="0.3">
      <c r="A36" s="36"/>
      <c r="B36" s="717" t="s">
        <v>63</v>
      </c>
      <c r="C36" s="24" t="str">
        <f>Questions!C162</f>
        <v>IAB1</v>
      </c>
      <c r="D36" s="2332" t="str">
        <f>VLOOKUP(C36,Questions!$C$3:$H$171,6,FALSE)</f>
        <v>Does the proposal have a project plan  for the next stages of the project with identified deadlines and responsibilities allocated?</v>
      </c>
      <c r="E36" s="2332"/>
      <c r="F36" s="2332"/>
      <c r="G36" s="2332"/>
      <c r="H36" s="2332"/>
      <c r="I36" s="2332"/>
      <c r="J36" s="2332"/>
      <c r="K36" s="2332"/>
      <c r="L36" s="2332"/>
      <c r="M36" s="2332"/>
      <c r="N36" s="2332"/>
      <c r="O36" s="2332"/>
      <c r="P36" s="2332"/>
      <c r="Q36" s="2332"/>
      <c r="R36" s="2332"/>
      <c r="S36" s="2332"/>
      <c r="T36" s="2332"/>
      <c r="U36" s="2332"/>
      <c r="V36" s="2332"/>
      <c r="W36" s="2332"/>
      <c r="X36" s="2332"/>
      <c r="Y36" s="2332"/>
      <c r="Z36" s="2332"/>
      <c r="AA36" s="1744" t="s">
        <v>34</v>
      </c>
      <c r="AB36" s="2322"/>
      <c r="AC36" s="2322"/>
      <c r="AD36" s="2322"/>
      <c r="AE36" s="2322"/>
      <c r="AF36" s="2322"/>
      <c r="AG36" s="1"/>
      <c r="AQ36" s="427"/>
    </row>
    <row r="37" spans="1:43" ht="30" customHeight="1" x14ac:dyDescent="0.3">
      <c r="A37" s="36"/>
      <c r="B37" s="717" t="s">
        <v>64</v>
      </c>
      <c r="C37" s="24" t="str">
        <f>Questions!C163</f>
        <v>IAB2</v>
      </c>
      <c r="D37" s="2331" t="str">
        <f>VLOOKUP(C37,Questions!$C$3:$H$171,6,FALSE)</f>
        <v>Has the contracting agency budgeted funds, or does it have access to funds, to complete project preparation? This includes the costs of preparing required studies, securing land, resettlement costs, and environmental and social impact cost mitigation.</v>
      </c>
      <c r="E37" s="2331"/>
      <c r="F37" s="2331"/>
      <c r="G37" s="2331"/>
      <c r="H37" s="2331"/>
      <c r="I37" s="2331"/>
      <c r="J37" s="2331"/>
      <c r="K37" s="2331"/>
      <c r="L37" s="2331"/>
      <c r="M37" s="2331"/>
      <c r="N37" s="2331"/>
      <c r="O37" s="2331"/>
      <c r="P37" s="2331"/>
      <c r="Q37" s="2331"/>
      <c r="R37" s="2331"/>
      <c r="S37" s="2331"/>
      <c r="T37" s="2331"/>
      <c r="U37" s="2331"/>
      <c r="V37" s="2331"/>
      <c r="W37" s="2331"/>
      <c r="X37" s="2331"/>
      <c r="Y37" s="2331"/>
      <c r="Z37" s="2331"/>
      <c r="AA37" s="1744" t="s">
        <v>34</v>
      </c>
      <c r="AB37" s="2323"/>
      <c r="AC37" s="2323"/>
      <c r="AD37" s="2323"/>
      <c r="AE37" s="2323"/>
      <c r="AF37" s="2323"/>
      <c r="AG37" s="1"/>
      <c r="AQ37" s="427"/>
    </row>
    <row r="38" spans="1:43" ht="24" customHeight="1" x14ac:dyDescent="0.3">
      <c r="A38" s="36"/>
      <c r="B38" s="717" t="s">
        <v>65</v>
      </c>
      <c r="C38" s="24" t="str">
        <f>Questions!C164</f>
        <v>IAB3</v>
      </c>
      <c r="D38" s="2331" t="str">
        <f>VLOOKUP(C38,Questions!$C$3:$H$171,6,FALSE)</f>
        <v>Does the project plan incorporate a strategic communications plan to engage with internal and external stakeholders of the project during the next stages of the project?</v>
      </c>
      <c r="E38" s="2331"/>
      <c r="F38" s="2331"/>
      <c r="G38" s="2331"/>
      <c r="H38" s="2331"/>
      <c r="I38" s="2331"/>
      <c r="J38" s="2331"/>
      <c r="K38" s="2331"/>
      <c r="L38" s="2331"/>
      <c r="M38" s="2331"/>
      <c r="N38" s="2331"/>
      <c r="O38" s="2331"/>
      <c r="P38" s="2331"/>
      <c r="Q38" s="2331"/>
      <c r="R38" s="2331"/>
      <c r="S38" s="2331"/>
      <c r="T38" s="2331"/>
      <c r="U38" s="2331"/>
      <c r="V38" s="2331"/>
      <c r="W38" s="2331"/>
      <c r="X38" s="2331"/>
      <c r="Y38" s="2331"/>
      <c r="Z38" s="2331"/>
      <c r="AA38" s="1744" t="s">
        <v>34</v>
      </c>
      <c r="AB38" s="2322"/>
      <c r="AC38" s="2322"/>
      <c r="AD38" s="2322"/>
      <c r="AE38" s="2322"/>
      <c r="AF38" s="2322"/>
      <c r="AG38" s="1"/>
      <c r="AQ38" s="427"/>
    </row>
    <row r="39" spans="1:43" ht="27.75" customHeight="1" x14ac:dyDescent="0.3">
      <c r="A39" s="36"/>
      <c r="B39" s="717" t="s">
        <v>66</v>
      </c>
      <c r="C39" s="24" t="str">
        <f>Questions!C165</f>
        <v>IAB4</v>
      </c>
      <c r="D39" s="2331" t="str">
        <f>VLOOKUP(C39,Questions!$C$3:$H$171,6,FALSE)</f>
        <v>Is the contracting agency aware of the requirements for licenses, approvals and permits in case the project covers multiple jurisdictions?</v>
      </c>
      <c r="E39" s="2331"/>
      <c r="F39" s="2331"/>
      <c r="G39" s="2331"/>
      <c r="H39" s="2331"/>
      <c r="I39" s="2331"/>
      <c r="J39" s="2331"/>
      <c r="K39" s="2331"/>
      <c r="L39" s="2331"/>
      <c r="M39" s="2331"/>
      <c r="N39" s="2331"/>
      <c r="O39" s="2331"/>
      <c r="P39" s="2331"/>
      <c r="Q39" s="2331"/>
      <c r="R39" s="2331"/>
      <c r="S39" s="2331"/>
      <c r="T39" s="2331"/>
      <c r="U39" s="2331"/>
      <c r="V39" s="2331"/>
      <c r="W39" s="2331"/>
      <c r="X39" s="2331"/>
      <c r="Y39" s="2331"/>
      <c r="Z39" s="2331"/>
      <c r="AA39" s="1744" t="s">
        <v>34</v>
      </c>
      <c r="AB39" s="2323"/>
      <c r="AC39" s="2323"/>
      <c r="AD39" s="2323"/>
      <c r="AE39" s="2323"/>
      <c r="AF39" s="2323"/>
      <c r="AG39" s="1"/>
      <c r="AQ39" s="427"/>
    </row>
    <row r="40" spans="1:43" ht="15.75" customHeight="1" x14ac:dyDescent="0.3">
      <c r="A40" s="36"/>
      <c r="B40" s="717" t="s">
        <v>69</v>
      </c>
      <c r="C40" s="24" t="str">
        <f>Questions!C166</f>
        <v>IAB5</v>
      </c>
      <c r="D40" s="2332" t="str">
        <f>VLOOKUP(C40,Questions!$C$3:$H$171,6,FALSE)</f>
        <v>Are there any constraints that could delay the project from getting to the market?</v>
      </c>
      <c r="E40" s="2332"/>
      <c r="F40" s="2332"/>
      <c r="G40" s="2332"/>
      <c r="H40" s="2332"/>
      <c r="I40" s="2332"/>
      <c r="J40" s="2332"/>
      <c r="K40" s="2332"/>
      <c r="L40" s="2332"/>
      <c r="M40" s="2332"/>
      <c r="N40" s="2332"/>
      <c r="O40" s="2332"/>
      <c r="P40" s="2332"/>
      <c r="Q40" s="2332"/>
      <c r="R40" s="2332"/>
      <c r="S40" s="2332"/>
      <c r="T40" s="2332"/>
      <c r="U40" s="2332"/>
      <c r="V40" s="2332"/>
      <c r="W40" s="2332"/>
      <c r="X40" s="2332"/>
      <c r="Y40" s="2332"/>
      <c r="Z40" s="2332"/>
      <c r="AA40" s="1744" t="s">
        <v>39</v>
      </c>
      <c r="AB40" s="2322"/>
      <c r="AC40" s="2322"/>
      <c r="AD40" s="2322"/>
      <c r="AE40" s="2322"/>
      <c r="AF40" s="2322"/>
      <c r="AG40" s="1"/>
      <c r="AQ40" s="427"/>
    </row>
    <row r="41" spans="1:43" s="47" customFormat="1" ht="6.75" customHeight="1" x14ac:dyDescent="0.3">
      <c r="B41" s="13"/>
      <c r="C41" s="48"/>
      <c r="D41" s="79"/>
      <c r="E41" s="13"/>
      <c r="F41" s="13"/>
      <c r="G41" s="13"/>
      <c r="H41" s="13"/>
      <c r="I41" s="13"/>
      <c r="J41" s="13"/>
      <c r="K41" s="13"/>
      <c r="L41" s="13"/>
      <c r="M41" s="13"/>
      <c r="N41" s="13"/>
      <c r="O41" s="13"/>
      <c r="P41" s="13"/>
      <c r="Q41" s="13"/>
      <c r="R41" s="13"/>
      <c r="S41" s="13"/>
      <c r="T41" s="13"/>
      <c r="U41" s="13"/>
      <c r="V41" s="13"/>
      <c r="W41" s="13"/>
      <c r="X41" s="13"/>
      <c r="Y41" s="13"/>
      <c r="Z41" s="13"/>
      <c r="AA41" s="13"/>
      <c r="AB41" s="2329"/>
      <c r="AC41" s="2329"/>
      <c r="AD41" s="2329"/>
      <c r="AE41" s="2329"/>
      <c r="AF41" s="2329"/>
      <c r="AG41" s="1"/>
      <c r="AQ41" s="427"/>
    </row>
    <row r="42" spans="1:43" ht="15" customHeight="1" x14ac:dyDescent="0.35">
      <c r="A42" s="36"/>
      <c r="B42" s="145">
        <v>3</v>
      </c>
      <c r="C42" s="142"/>
      <c r="D42" s="2171" t="s">
        <v>89</v>
      </c>
      <c r="E42" s="2171"/>
      <c r="F42" s="2171"/>
      <c r="G42" s="2171"/>
      <c r="H42" s="2171"/>
      <c r="I42" s="2171"/>
      <c r="J42" s="2171"/>
      <c r="K42" s="2171"/>
      <c r="L42" s="2171"/>
      <c r="M42" s="2171"/>
      <c r="N42" s="2171"/>
      <c r="O42" s="2171"/>
      <c r="P42" s="2171"/>
      <c r="Q42" s="2171"/>
      <c r="R42" s="2171"/>
      <c r="S42" s="2171"/>
      <c r="T42" s="2171"/>
      <c r="U42" s="2171"/>
      <c r="V42" s="2171"/>
      <c r="W42" s="2171"/>
      <c r="X42" s="2171"/>
      <c r="Y42" s="2171"/>
      <c r="Z42" s="2171"/>
      <c r="AA42" s="575" t="str">
        <f>IF(D43=0,"Not Applicable","")</f>
        <v/>
      </c>
      <c r="AB42" s="2321"/>
      <c r="AC42" s="2321"/>
      <c r="AD42" s="2321"/>
      <c r="AE42" s="2321"/>
      <c r="AF42" s="2321"/>
      <c r="AG42" s="1"/>
      <c r="AQ42" s="427"/>
    </row>
    <row r="43" spans="1:43" ht="27" customHeight="1" x14ac:dyDescent="0.3">
      <c r="A43" s="36"/>
      <c r="B43" s="717" t="s">
        <v>63</v>
      </c>
      <c r="C43" s="24" t="str">
        <f>Questions!C167</f>
        <v>IAC1</v>
      </c>
      <c r="D43" s="2331" t="str">
        <f>VLOOKUP(C43,Questions!$C$3:$H$171,6,FALSE)</f>
        <v>Does the contracting agency have adequate project management capability as evidenced from successful experience of implementing publicly funded projects in the sector?</v>
      </c>
      <c r="E43" s="2331"/>
      <c r="F43" s="2331"/>
      <c r="G43" s="2331"/>
      <c r="H43" s="2331"/>
      <c r="I43" s="2331"/>
      <c r="J43" s="2331"/>
      <c r="K43" s="2331"/>
      <c r="L43" s="2331"/>
      <c r="M43" s="2331"/>
      <c r="N43" s="2331"/>
      <c r="O43" s="2331"/>
      <c r="P43" s="2331"/>
      <c r="Q43" s="2331"/>
      <c r="R43" s="2331"/>
      <c r="S43" s="2331"/>
      <c r="T43" s="2331"/>
      <c r="U43" s="2331"/>
      <c r="V43" s="2331"/>
      <c r="W43" s="2331"/>
      <c r="X43" s="2331"/>
      <c r="Y43" s="2331"/>
      <c r="Z43" s="2331"/>
      <c r="AA43" s="1744" t="s">
        <v>34</v>
      </c>
      <c r="AB43" s="2322"/>
      <c r="AC43" s="2322"/>
      <c r="AD43" s="2322"/>
      <c r="AE43" s="2322"/>
      <c r="AF43" s="2322"/>
      <c r="AG43" s="1"/>
      <c r="AQ43" s="427"/>
    </row>
    <row r="44" spans="1:43" ht="16.5" customHeight="1" x14ac:dyDescent="0.3">
      <c r="A44" s="36"/>
      <c r="B44" s="717" t="s">
        <v>64</v>
      </c>
      <c r="C44" s="24" t="str">
        <f>Questions!C168</f>
        <v>IAC2</v>
      </c>
      <c r="D44" s="2332" t="str">
        <f>VLOOKUP(C44,Questions!$C$3:$H$171,6,FALSE)</f>
        <v>Has the contracting agency been effective in managing key contractual risks and monitoring the performance of PPP projects during their operations phase?</v>
      </c>
      <c r="E44" s="2332"/>
      <c r="F44" s="2332"/>
      <c r="G44" s="2332"/>
      <c r="H44" s="2332"/>
      <c r="I44" s="2332"/>
      <c r="J44" s="2332"/>
      <c r="K44" s="2332"/>
      <c r="L44" s="2332"/>
      <c r="M44" s="2332"/>
      <c r="N44" s="2332"/>
      <c r="O44" s="2332"/>
      <c r="P44" s="2332"/>
      <c r="Q44" s="2332"/>
      <c r="R44" s="2332"/>
      <c r="S44" s="2332"/>
      <c r="T44" s="2332"/>
      <c r="U44" s="2332"/>
      <c r="V44" s="2332"/>
      <c r="W44" s="2332"/>
      <c r="X44" s="2332"/>
      <c r="Y44" s="2332"/>
      <c r="Z44" s="2332"/>
      <c r="AA44" s="1744" t="s">
        <v>34</v>
      </c>
      <c r="AB44" s="2323"/>
      <c r="AC44" s="2323"/>
      <c r="AD44" s="2323"/>
      <c r="AE44" s="2323"/>
      <c r="AF44" s="2323"/>
      <c r="AG44" s="1"/>
      <c r="AQ44" s="427"/>
    </row>
    <row r="45" spans="1:43" ht="15" customHeight="1" x14ac:dyDescent="0.3">
      <c r="A45" s="36"/>
      <c r="B45" s="717" t="s">
        <v>65</v>
      </c>
      <c r="C45" s="24" t="str">
        <f>Questions!C169</f>
        <v>IAC3</v>
      </c>
      <c r="D45" s="2332" t="str">
        <f>VLOOKUP(C45,Questions!$C$3:$H$171,6,FALSE)</f>
        <v xml:space="preserve">Will the PPP project have independent engineers or consultants to oversee the project's construction? </v>
      </c>
      <c r="E45" s="2332"/>
      <c r="F45" s="2332"/>
      <c r="G45" s="2332"/>
      <c r="H45" s="2332"/>
      <c r="I45" s="2332"/>
      <c r="J45" s="2332"/>
      <c r="K45" s="2332"/>
      <c r="L45" s="2332"/>
      <c r="M45" s="2332"/>
      <c r="N45" s="2332"/>
      <c r="O45" s="2332"/>
      <c r="P45" s="2332"/>
      <c r="Q45" s="2332"/>
      <c r="R45" s="2332"/>
      <c r="S45" s="2332"/>
      <c r="T45" s="2332"/>
      <c r="U45" s="2332"/>
      <c r="V45" s="2332"/>
      <c r="W45" s="2332"/>
      <c r="X45" s="2332"/>
      <c r="Y45" s="2332"/>
      <c r="Z45" s="2332"/>
      <c r="AA45" s="1744" t="s">
        <v>34</v>
      </c>
      <c r="AB45" s="2323"/>
      <c r="AC45" s="2323"/>
      <c r="AD45" s="2323"/>
      <c r="AE45" s="2323"/>
      <c r="AF45" s="2323"/>
      <c r="AG45" s="1"/>
      <c r="AQ45" s="427"/>
    </row>
    <row r="46" spans="1:43" ht="29.25" customHeight="1" x14ac:dyDescent="0.3">
      <c r="A46" s="36"/>
      <c r="B46" s="717" t="s">
        <v>66</v>
      </c>
      <c r="C46" s="24" t="str">
        <f>Questions!C170</f>
        <v>IAC4</v>
      </c>
      <c r="D46" s="2331" t="str">
        <f>VLOOKUP(C46,Questions!$C$3:$H$171,6,FALSE)</f>
        <v>Will the contracting agency hire independent consultants or advisors to periodically assess project performance during the operations phase?</v>
      </c>
      <c r="E46" s="2331"/>
      <c r="F46" s="2331"/>
      <c r="G46" s="2331"/>
      <c r="H46" s="2331"/>
      <c r="I46" s="2331"/>
      <c r="J46" s="2331"/>
      <c r="K46" s="2331"/>
      <c r="L46" s="2331"/>
      <c r="M46" s="2331"/>
      <c r="N46" s="2331"/>
      <c r="O46" s="2331"/>
      <c r="P46" s="2331"/>
      <c r="Q46" s="2331"/>
      <c r="R46" s="2331"/>
      <c r="S46" s="2331"/>
      <c r="T46" s="2331"/>
      <c r="U46" s="2331"/>
      <c r="V46" s="2331"/>
      <c r="W46" s="2331"/>
      <c r="X46" s="2331"/>
      <c r="Y46" s="2331"/>
      <c r="Z46" s="2331"/>
      <c r="AA46" s="1744" t="s">
        <v>34</v>
      </c>
      <c r="AB46" s="2323"/>
      <c r="AC46" s="2323"/>
      <c r="AD46" s="2323"/>
      <c r="AE46" s="2323"/>
      <c r="AF46" s="2323"/>
      <c r="AG46" s="1"/>
      <c r="AQ46" s="427"/>
    </row>
    <row r="47" spans="1:43" ht="30.75" customHeight="1" x14ac:dyDescent="0.3">
      <c r="A47" s="36"/>
      <c r="B47" s="717" t="s">
        <v>69</v>
      </c>
      <c r="C47" s="24" t="str">
        <f>Questions!C171</f>
        <v>IAC5</v>
      </c>
      <c r="D47" s="2331" t="str">
        <f>VLOOKUP(C47,Questions!$C$3:$H$171,6,FALSE)</f>
        <v>Will the contracting agency insist on project-level disclosure to the public from time to time on the project's performance and meeting contractual obligations?</v>
      </c>
      <c r="E47" s="2331"/>
      <c r="F47" s="2331"/>
      <c r="G47" s="2331"/>
      <c r="H47" s="2331"/>
      <c r="I47" s="2331"/>
      <c r="J47" s="2331"/>
      <c r="K47" s="2331"/>
      <c r="L47" s="2331"/>
      <c r="M47" s="2331"/>
      <c r="N47" s="2331"/>
      <c r="O47" s="2331"/>
      <c r="P47" s="2331"/>
      <c r="Q47" s="2331"/>
      <c r="R47" s="2331"/>
      <c r="S47" s="2331"/>
      <c r="T47" s="2331"/>
      <c r="U47" s="2331"/>
      <c r="V47" s="2331"/>
      <c r="W47" s="2331"/>
      <c r="X47" s="2331"/>
      <c r="Y47" s="2331"/>
      <c r="Z47" s="2331"/>
      <c r="AA47" s="1744" t="s">
        <v>34</v>
      </c>
      <c r="AB47" s="2323"/>
      <c r="AC47" s="2323"/>
      <c r="AD47" s="2323"/>
      <c r="AE47" s="2323"/>
      <c r="AF47" s="2323"/>
      <c r="AG47" s="1"/>
      <c r="AQ47" s="427"/>
    </row>
    <row r="48" spans="1:43" s="47" customFormat="1" ht="6" customHeight="1" x14ac:dyDescent="0.3">
      <c r="A48" s="36"/>
      <c r="AA48" s="2000"/>
      <c r="AB48" s="2343"/>
      <c r="AC48" s="2343"/>
      <c r="AD48" s="2343"/>
      <c r="AE48" s="2343"/>
      <c r="AF48" s="2343"/>
      <c r="AG48" s="1"/>
      <c r="AQ48" s="427"/>
    </row>
    <row r="49" spans="1:44" x14ac:dyDescent="0.3">
      <c r="A49" s="36"/>
      <c r="AA49" s="2000"/>
      <c r="AB49" s="2000"/>
      <c r="AC49" s="2000"/>
      <c r="AD49" s="2000"/>
      <c r="AE49" s="2000"/>
      <c r="AF49" s="2000"/>
      <c r="AG49" s="1"/>
      <c r="AQ49" s="427"/>
    </row>
    <row r="50" spans="1:44" ht="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Q50" s="427"/>
    </row>
    <row r="51" spans="1:44" x14ac:dyDescent="0.3">
      <c r="AQ51" s="427"/>
    </row>
    <row r="52" spans="1:44" x14ac:dyDescent="0.3">
      <c r="AQ52" s="427"/>
    </row>
    <row r="53" spans="1:44" x14ac:dyDescent="0.3">
      <c r="AQ53" s="427"/>
    </row>
    <row r="54" spans="1:44" x14ac:dyDescent="0.3">
      <c r="AQ54" s="427"/>
    </row>
    <row r="55" spans="1:44" x14ac:dyDescent="0.3">
      <c r="AQ55" s="427"/>
    </row>
    <row r="56" spans="1:44" x14ac:dyDescent="0.3">
      <c r="AQ56" s="427"/>
    </row>
    <row r="57" spans="1:44" x14ac:dyDescent="0.3">
      <c r="AQ57" s="427"/>
    </row>
    <row r="58" spans="1:44" x14ac:dyDescent="0.3">
      <c r="AQ58" s="26"/>
      <c r="AR58" s="26"/>
    </row>
    <row r="59" spans="1:44" x14ac:dyDescent="0.3">
      <c r="AQ59" s="27"/>
      <c r="AR59" s="28"/>
    </row>
    <row r="60" spans="1:44" ht="15" thickBot="1" x14ac:dyDescent="0.35">
      <c r="AQ60" s="27"/>
      <c r="AR60" s="28"/>
    </row>
    <row r="61" spans="1:44" ht="18.600000000000001" thickBot="1" x14ac:dyDescent="0.35">
      <c r="AQ61" s="2210" t="s">
        <v>565</v>
      </c>
      <c r="AR61" s="2211"/>
    </row>
    <row r="62" spans="1:44" ht="15.6" x14ac:dyDescent="0.3">
      <c r="AQ62" s="2341" t="s">
        <v>911</v>
      </c>
      <c r="AR62" s="2342"/>
    </row>
    <row r="63" spans="1:44" ht="101.25" customHeight="1" thickBot="1" x14ac:dyDescent="0.35">
      <c r="AQ63" s="2283" t="s">
        <v>908</v>
      </c>
      <c r="AR63" s="2284"/>
    </row>
    <row r="64" spans="1:44" ht="15.6" x14ac:dyDescent="0.3">
      <c r="AP64" s="47"/>
      <c r="AQ64" s="2341" t="s">
        <v>912</v>
      </c>
      <c r="AR64" s="2342"/>
    </row>
    <row r="65" spans="43:44" ht="85.5" customHeight="1" thickBot="1" x14ac:dyDescent="0.35">
      <c r="AQ65" s="2283" t="s">
        <v>909</v>
      </c>
      <c r="AR65" s="2284"/>
    </row>
    <row r="66" spans="43:44" ht="15.6" x14ac:dyDescent="0.3">
      <c r="AQ66" s="2341" t="s">
        <v>913</v>
      </c>
      <c r="AR66" s="2342"/>
    </row>
    <row r="67" spans="43:44" ht="60" customHeight="1" thickBot="1" x14ac:dyDescent="0.35">
      <c r="AQ67" s="2283" t="s">
        <v>910</v>
      </c>
      <c r="AR67" s="2284"/>
    </row>
  </sheetData>
  <sheetProtection password="DA20" sheet="1" objects="1" scenarios="1"/>
  <mergeCells count="63">
    <mergeCell ref="AE13:AE15"/>
    <mergeCell ref="AD4:AD15"/>
    <mergeCell ref="P18:R20"/>
    <mergeCell ref="AQ67:AR67"/>
    <mergeCell ref="AQ63:AR63"/>
    <mergeCell ref="AQ62:AR62"/>
    <mergeCell ref="AQ65:AR65"/>
    <mergeCell ref="AQ64:AR64"/>
    <mergeCell ref="AQ66:AR66"/>
    <mergeCell ref="AB47:AF47"/>
    <mergeCell ref="AB48:AF48"/>
    <mergeCell ref="AB41:AF41"/>
    <mergeCell ref="AB42:AF42"/>
    <mergeCell ref="AB43:AF43"/>
    <mergeCell ref="AB44:AF44"/>
    <mergeCell ref="AB45:AF45"/>
    <mergeCell ref="AB31:AF31"/>
    <mergeCell ref="AB32:AF32"/>
    <mergeCell ref="AB33:AF33"/>
    <mergeCell ref="AB34:AF34"/>
    <mergeCell ref="AB35:AF35"/>
    <mergeCell ref="W13:W18"/>
    <mergeCell ref="O5:U5"/>
    <mergeCell ref="W12:AB12"/>
    <mergeCell ref="D16:L16"/>
    <mergeCell ref="T18:T20"/>
    <mergeCell ref="D29:L29"/>
    <mergeCell ref="X6:AB11"/>
    <mergeCell ref="X13:AB18"/>
    <mergeCell ref="D24:U24"/>
    <mergeCell ref="D30:Z30"/>
    <mergeCell ref="AB28:AF28"/>
    <mergeCell ref="AB29:AF29"/>
    <mergeCell ref="AB30:AF30"/>
    <mergeCell ref="AE4:AE6"/>
    <mergeCell ref="AE7:AE9"/>
    <mergeCell ref="AE10:AE12"/>
    <mergeCell ref="W19:AB19"/>
    <mergeCell ref="W5:AB5"/>
    <mergeCell ref="D4:U4"/>
    <mergeCell ref="D5:L5"/>
    <mergeCell ref="W6:W11"/>
    <mergeCell ref="D31:Z31"/>
    <mergeCell ref="D32:Z32"/>
    <mergeCell ref="D33:Z33"/>
    <mergeCell ref="D36:Z36"/>
    <mergeCell ref="D37:Z37"/>
    <mergeCell ref="AB36:AF36"/>
    <mergeCell ref="AB37:AF37"/>
    <mergeCell ref="AB38:AF38"/>
    <mergeCell ref="AQ61:AR61"/>
    <mergeCell ref="D38:Z38"/>
    <mergeCell ref="D39:Z39"/>
    <mergeCell ref="D47:Z47"/>
    <mergeCell ref="D40:Z40"/>
    <mergeCell ref="D43:Z43"/>
    <mergeCell ref="D44:Z44"/>
    <mergeCell ref="D45:Z45"/>
    <mergeCell ref="D46:Z46"/>
    <mergeCell ref="D42:Z42"/>
    <mergeCell ref="AB39:AF39"/>
    <mergeCell ref="AB40:AF40"/>
    <mergeCell ref="AB46:AF46"/>
  </mergeCells>
  <conditionalFormatting sqref="AA30">
    <cfRule type="expression" dxfId="335" priority="7">
      <formula>D30=0</formula>
    </cfRule>
  </conditionalFormatting>
  <conditionalFormatting sqref="AA31:AA33">
    <cfRule type="expression" dxfId="334" priority="3">
      <formula>D31=0</formula>
    </cfRule>
  </conditionalFormatting>
  <conditionalFormatting sqref="AA36:AA40">
    <cfRule type="expression" dxfId="333" priority="2">
      <formula>D36=0</formula>
    </cfRule>
  </conditionalFormatting>
  <conditionalFormatting sqref="AA43:AA47">
    <cfRule type="expression" dxfId="332" priority="1">
      <formula>D43=0</formula>
    </cfRule>
  </conditionalFormatting>
  <dataValidations count="2">
    <dataValidation type="list" allowBlank="1" showInputMessage="1" showErrorMessage="1" promptTitle="Select Response" sqref="AA41 AA34" xr:uid="{00000000-0002-0000-0800-000000000000}">
      <formula1>"Yes,No,N/A,Uncertain"</formula1>
    </dataValidation>
    <dataValidation type="list" allowBlank="1" showInputMessage="1" showErrorMessage="1" promptTitle="Select Response" sqref="AA36:AA40 AA30:AA33 AA43:AA47" xr:uid="{00000000-0002-0000-0800-000001000000}">
      <formula1>"Yes,No,Uncertain,N/A,Skip"</formula1>
    </dataValidation>
  </dataValidations>
  <hyperlinks>
    <hyperlink ref="D29:L29" location="Institutional1" display="Institutional Capacity" xr:uid="{00000000-0004-0000-0800-000000000000}"/>
    <hyperlink ref="D35:Z35" location="Institutional2" display="Preparedness of the Contracting Agency for the Project" xr:uid="{00000000-0004-0000-0800-000001000000}"/>
    <hyperlink ref="D42:Z42" location="'VI.Institutional Capability'!AS67" display="Project Execution Capability of the Contracting Agency" xr:uid="{00000000-0004-0000-0800-000002000000}"/>
  </hyperlinks>
  <pageMargins left="0.7" right="0.7" top="0.75" bottom="0.75" header="0.3" footer="0.3"/>
  <pageSetup paperSize="9" scale="1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00B0F0"/>
  </sheetPr>
  <dimension ref="B1:W18"/>
  <sheetViews>
    <sheetView zoomScale="80" zoomScaleNormal="80" workbookViewId="0"/>
  </sheetViews>
  <sheetFormatPr defaultColWidth="8.5546875" defaultRowHeight="14.4" x14ac:dyDescent="0.3"/>
  <cols>
    <col min="1" max="22" width="8.5546875" style="427"/>
    <col min="23" max="23" width="14.44140625" style="427" customWidth="1"/>
    <col min="24" max="16384" width="8.5546875" style="427"/>
  </cols>
  <sheetData>
    <row r="1" spans="2:23" ht="15" thickBot="1" x14ac:dyDescent="0.35"/>
    <row r="2" spans="2:23" x14ac:dyDescent="0.3">
      <c r="B2" s="1273"/>
      <c r="C2" s="1274"/>
      <c r="D2" s="1274"/>
      <c r="E2" s="1274"/>
      <c r="F2" s="1274"/>
      <c r="G2" s="1274"/>
      <c r="H2" s="1274"/>
      <c r="I2" s="1274"/>
      <c r="J2" s="1274"/>
      <c r="K2" s="1274"/>
      <c r="L2" s="1274"/>
      <c r="M2" s="1274"/>
      <c r="N2" s="1274"/>
      <c r="O2" s="1274"/>
      <c r="P2" s="1274"/>
      <c r="Q2" s="1274"/>
      <c r="R2" s="1274"/>
      <c r="S2" s="1274"/>
      <c r="T2" s="1274"/>
      <c r="U2" s="1274"/>
      <c r="V2" s="1274"/>
      <c r="W2" s="1275"/>
    </row>
    <row r="3" spans="2:23" ht="21" x14ac:dyDescent="0.3">
      <c r="B3" s="1276"/>
      <c r="C3" s="1277" t="s">
        <v>481</v>
      </c>
      <c r="D3" s="1278"/>
      <c r="E3" s="1278"/>
      <c r="F3" s="1278"/>
      <c r="G3" s="1278"/>
      <c r="H3" s="1278"/>
      <c r="I3" s="1278"/>
      <c r="J3" s="1278"/>
      <c r="K3" s="1278"/>
      <c r="L3" s="1278"/>
      <c r="M3" s="1278"/>
      <c r="N3" s="1278"/>
      <c r="O3" s="1278"/>
      <c r="P3" s="1278"/>
      <c r="Q3" s="1278"/>
      <c r="R3" s="1278"/>
      <c r="S3" s="1278"/>
      <c r="T3" s="1278"/>
      <c r="U3" s="1278"/>
      <c r="V3" s="1278"/>
      <c r="W3" s="1279"/>
    </row>
    <row r="4" spans="2:23" ht="21" x14ac:dyDescent="0.3">
      <c r="B4" s="1276"/>
      <c r="C4" s="1277"/>
      <c r="D4" s="1278"/>
      <c r="E4" s="1278"/>
      <c r="F4" s="1278"/>
      <c r="G4" s="1278"/>
      <c r="H4" s="1278"/>
      <c r="I4" s="1278"/>
      <c r="J4" s="1278"/>
      <c r="K4" s="1278"/>
      <c r="L4" s="1278"/>
      <c r="M4" s="1278"/>
      <c r="N4" s="1278"/>
      <c r="O4" s="1278"/>
      <c r="P4" s="1278"/>
      <c r="Q4" s="1278"/>
      <c r="R4" s="1278"/>
      <c r="S4" s="1278"/>
      <c r="T4" s="1278"/>
      <c r="U4" s="1278"/>
      <c r="V4" s="1278"/>
      <c r="W4" s="1279"/>
    </row>
    <row r="5" spans="2:23" x14ac:dyDescent="0.3">
      <c r="B5" s="1276"/>
      <c r="C5" s="1278"/>
      <c r="D5" s="1278"/>
      <c r="E5" s="1278"/>
      <c r="F5" s="1278"/>
      <c r="G5" s="1278"/>
      <c r="H5" s="1278"/>
      <c r="I5" s="1278"/>
      <c r="J5" s="1278"/>
      <c r="K5" s="1278"/>
      <c r="L5" s="1278"/>
      <c r="M5" s="1278"/>
      <c r="N5" s="1278"/>
      <c r="O5" s="1278"/>
      <c r="P5" s="1278"/>
      <c r="Q5" s="1278"/>
      <c r="R5" s="1278"/>
      <c r="S5" s="1278"/>
      <c r="T5" s="1278"/>
      <c r="U5" s="1278"/>
      <c r="V5" s="1278"/>
      <c r="W5" s="1279"/>
    </row>
    <row r="6" spans="2:23" ht="21" x14ac:dyDescent="0.3">
      <c r="B6" s="1276"/>
      <c r="C6" s="1280" t="s">
        <v>431</v>
      </c>
      <c r="D6" s="1278"/>
      <c r="E6" s="1281"/>
      <c r="F6" s="1282"/>
      <c r="G6" s="1272">
        <v>1</v>
      </c>
      <c r="H6" s="1282" t="s">
        <v>632</v>
      </c>
      <c r="I6" s="1278"/>
      <c r="J6" s="1278"/>
      <c r="K6" s="1278"/>
      <c r="L6" s="1278"/>
      <c r="M6" s="1278"/>
      <c r="N6" s="1278"/>
      <c r="O6" s="1278"/>
      <c r="P6" s="1278"/>
      <c r="Q6" s="1278"/>
      <c r="R6" s="1278"/>
      <c r="S6" s="1278"/>
      <c r="T6" s="1278"/>
      <c r="U6" s="1278"/>
      <c r="V6" s="1278"/>
      <c r="W6" s="1279"/>
    </row>
    <row r="7" spans="2:23" ht="18" x14ac:dyDescent="0.3">
      <c r="B7" s="1276"/>
      <c r="C7" s="1278"/>
      <c r="D7" s="1278"/>
      <c r="E7" s="1281"/>
      <c r="F7" s="1282"/>
      <c r="G7" s="1272">
        <v>2</v>
      </c>
      <c r="H7" s="1282" t="s">
        <v>916</v>
      </c>
      <c r="I7" s="1278"/>
      <c r="J7" s="1278"/>
      <c r="K7" s="1278"/>
      <c r="L7" s="1278"/>
      <c r="M7" s="1278"/>
      <c r="N7" s="1278"/>
      <c r="O7" s="1278"/>
      <c r="P7" s="1278"/>
      <c r="Q7" s="1278"/>
      <c r="R7" s="1278"/>
      <c r="S7" s="1278"/>
      <c r="T7" s="1278"/>
      <c r="U7" s="1278"/>
      <c r="V7" s="1278"/>
      <c r="W7" s="1279"/>
    </row>
    <row r="8" spans="2:23" ht="18" x14ac:dyDescent="0.3">
      <c r="B8" s="1276"/>
      <c r="C8" s="1278"/>
      <c r="D8" s="1278"/>
      <c r="E8" s="1281"/>
      <c r="F8" s="1282"/>
      <c r="G8" s="1272">
        <v>3</v>
      </c>
      <c r="H8" s="1282" t="s">
        <v>633</v>
      </c>
      <c r="I8" s="1278"/>
      <c r="J8" s="1278"/>
      <c r="K8" s="1278"/>
      <c r="L8" s="1278"/>
      <c r="M8" s="1278"/>
      <c r="N8" s="1278"/>
      <c r="O8" s="1278"/>
      <c r="P8" s="1278"/>
      <c r="Q8" s="1278"/>
      <c r="R8" s="1278"/>
      <c r="S8" s="1278"/>
      <c r="T8" s="1278"/>
      <c r="U8" s="1278"/>
      <c r="V8" s="1278"/>
      <c r="W8" s="1279"/>
    </row>
    <row r="9" spans="2:23" ht="18" x14ac:dyDescent="0.3">
      <c r="B9" s="1276"/>
      <c r="C9" s="1278"/>
      <c r="D9" s="1278"/>
      <c r="E9" s="1278"/>
      <c r="F9" s="1278"/>
      <c r="G9" s="1272">
        <v>4</v>
      </c>
      <c r="H9" s="1282" t="s">
        <v>917</v>
      </c>
      <c r="I9" s="1278"/>
      <c r="J9" s="1278"/>
      <c r="K9" s="1278"/>
      <c r="L9" s="1278"/>
      <c r="M9" s="1278"/>
      <c r="N9" s="1278"/>
      <c r="O9" s="1278"/>
      <c r="P9" s="1278"/>
      <c r="Q9" s="1278"/>
      <c r="R9" s="1278"/>
      <c r="S9" s="1278"/>
      <c r="T9" s="1278"/>
      <c r="U9" s="1278"/>
      <c r="V9" s="1278"/>
      <c r="W9" s="1279"/>
    </row>
    <row r="10" spans="2:23" ht="18" x14ac:dyDescent="0.3">
      <c r="B10" s="1276"/>
      <c r="C10" s="1278"/>
      <c r="D10" s="1278"/>
      <c r="E10" s="1278"/>
      <c r="F10" s="1278"/>
      <c r="G10" s="1272"/>
      <c r="H10" s="1282"/>
      <c r="I10" s="1278"/>
      <c r="J10" s="1278"/>
      <c r="K10" s="1278"/>
      <c r="L10" s="1278"/>
      <c r="M10" s="1278"/>
      <c r="N10" s="1278"/>
      <c r="O10" s="1278"/>
      <c r="P10" s="1278"/>
      <c r="Q10" s="1278"/>
      <c r="R10" s="1278"/>
      <c r="S10" s="1278"/>
      <c r="T10" s="1278"/>
      <c r="U10" s="1278"/>
      <c r="V10" s="1278"/>
      <c r="W10" s="1279"/>
    </row>
    <row r="11" spans="2:23" ht="18" x14ac:dyDescent="0.3">
      <c r="B11" s="1276"/>
      <c r="C11" s="1278"/>
      <c r="D11" s="1278"/>
      <c r="E11" s="1278"/>
      <c r="F11" s="1278"/>
      <c r="G11" s="1272"/>
      <c r="H11" s="1282"/>
      <c r="I11" s="1278"/>
      <c r="J11" s="1278"/>
      <c r="K11" s="1278"/>
      <c r="L11" s="1278"/>
      <c r="M11" s="1278"/>
      <c r="N11" s="1278"/>
      <c r="O11" s="1278"/>
      <c r="P11" s="1278"/>
      <c r="Q11" s="1278"/>
      <c r="R11" s="1278"/>
      <c r="S11" s="1278"/>
      <c r="T11" s="1278"/>
      <c r="U11" s="1278"/>
      <c r="V11" s="1278"/>
      <c r="W11" s="1279"/>
    </row>
    <row r="12" spans="2:23" ht="18" x14ac:dyDescent="0.3">
      <c r="B12" s="1276"/>
      <c r="C12" s="1278"/>
      <c r="D12" s="1278"/>
      <c r="E12" s="1278"/>
      <c r="F12" s="1278"/>
      <c r="G12" s="1272"/>
      <c r="H12" s="1278"/>
      <c r="I12" s="1278"/>
      <c r="J12" s="1278"/>
      <c r="K12" s="1278"/>
      <c r="L12" s="1278"/>
      <c r="M12" s="1278"/>
      <c r="N12" s="1278"/>
      <c r="O12" s="1278"/>
      <c r="P12" s="1278"/>
      <c r="Q12" s="1278"/>
      <c r="R12" s="1278"/>
      <c r="S12" s="1278"/>
      <c r="T12" s="1278"/>
      <c r="U12" s="1278"/>
      <c r="V12" s="1278"/>
      <c r="W12" s="1279"/>
    </row>
    <row r="13" spans="2:23" ht="21" x14ac:dyDescent="0.3">
      <c r="B13" s="1276"/>
      <c r="C13" s="1280" t="s">
        <v>467</v>
      </c>
      <c r="D13" s="1278"/>
      <c r="E13" s="1278"/>
      <c r="F13" s="1278"/>
      <c r="G13" s="1272">
        <v>1</v>
      </c>
      <c r="H13" s="1282" t="s">
        <v>918</v>
      </c>
      <c r="I13" s="1278"/>
      <c r="J13" s="1278"/>
      <c r="K13" s="1278"/>
      <c r="L13" s="1278"/>
      <c r="M13" s="1278"/>
      <c r="N13" s="1278"/>
      <c r="O13" s="1278"/>
      <c r="P13" s="1278"/>
      <c r="Q13" s="1278"/>
      <c r="R13" s="1278"/>
      <c r="S13" s="1278"/>
      <c r="T13" s="1278"/>
      <c r="U13" s="1278"/>
      <c r="V13" s="1278"/>
      <c r="W13" s="1279"/>
    </row>
    <row r="14" spans="2:23" ht="18" x14ac:dyDescent="0.3">
      <c r="B14" s="1276"/>
      <c r="C14" s="1278"/>
      <c r="D14" s="1278"/>
      <c r="E14" s="1278"/>
      <c r="F14" s="1278"/>
      <c r="G14" s="1272">
        <v>2</v>
      </c>
      <c r="H14" s="1282" t="s">
        <v>919</v>
      </c>
      <c r="I14" s="1278"/>
      <c r="J14" s="1278"/>
      <c r="K14" s="1278"/>
      <c r="L14" s="1278"/>
      <c r="M14" s="1278"/>
      <c r="N14" s="1278"/>
      <c r="O14" s="1278"/>
      <c r="P14" s="1278"/>
      <c r="Q14" s="1278"/>
      <c r="R14" s="1278"/>
      <c r="S14" s="1278"/>
      <c r="T14" s="1278"/>
      <c r="U14" s="1278"/>
      <c r="V14" s="1278"/>
      <c r="W14" s="1279"/>
    </row>
    <row r="15" spans="2:23" ht="18" x14ac:dyDescent="0.3">
      <c r="B15" s="1276"/>
      <c r="C15" s="1278"/>
      <c r="D15" s="1278"/>
      <c r="E15" s="1278"/>
      <c r="F15" s="1278"/>
      <c r="G15" s="1272">
        <v>3</v>
      </c>
      <c r="H15" s="1282" t="s">
        <v>920</v>
      </c>
      <c r="I15" s="1278"/>
      <c r="J15" s="1278"/>
      <c r="K15" s="1278"/>
      <c r="L15" s="1278"/>
      <c r="M15" s="1278"/>
      <c r="N15" s="1278"/>
      <c r="O15" s="1278"/>
      <c r="P15" s="1278"/>
      <c r="Q15" s="1278"/>
      <c r="R15" s="1278"/>
      <c r="S15" s="1278"/>
      <c r="T15" s="1278"/>
      <c r="U15" s="1278"/>
      <c r="V15" s="1278"/>
      <c r="W15" s="1279"/>
    </row>
    <row r="16" spans="2:23" ht="18" x14ac:dyDescent="0.3">
      <c r="B16" s="1276"/>
      <c r="C16" s="1278"/>
      <c r="D16" s="1278"/>
      <c r="E16" s="1278"/>
      <c r="F16" s="1278"/>
      <c r="G16" s="1272">
        <v>4</v>
      </c>
      <c r="H16" s="1282" t="s">
        <v>921</v>
      </c>
      <c r="I16" s="1278"/>
      <c r="J16" s="1278"/>
      <c r="K16" s="1278"/>
      <c r="L16" s="1278"/>
      <c r="M16" s="1278"/>
      <c r="N16" s="1278"/>
      <c r="O16" s="1278"/>
      <c r="P16" s="1278"/>
      <c r="Q16" s="1278"/>
      <c r="R16" s="1278"/>
      <c r="S16" s="1278"/>
      <c r="T16" s="1278"/>
      <c r="U16" s="1278"/>
      <c r="V16" s="1278"/>
      <c r="W16" s="1279"/>
    </row>
    <row r="17" spans="2:23" x14ac:dyDescent="0.3">
      <c r="B17" s="1276"/>
      <c r="C17" s="1278"/>
      <c r="D17" s="1278"/>
      <c r="E17" s="1278"/>
      <c r="F17" s="1278"/>
      <c r="G17" s="1278"/>
      <c r="H17" s="1278"/>
      <c r="I17" s="1278"/>
      <c r="J17" s="1278"/>
      <c r="K17" s="1278"/>
      <c r="L17" s="1278"/>
      <c r="M17" s="1278"/>
      <c r="N17" s="1278"/>
      <c r="O17" s="1278"/>
      <c r="P17" s="1278"/>
      <c r="Q17" s="1278"/>
      <c r="R17" s="1278"/>
      <c r="S17" s="1278"/>
      <c r="T17" s="1278"/>
      <c r="U17" s="1278"/>
      <c r="V17" s="1278"/>
      <c r="W17" s="1279"/>
    </row>
    <row r="18" spans="2:23" ht="15" thickBot="1" x14ac:dyDescent="0.35">
      <c r="B18" s="1283"/>
      <c r="C18" s="1284"/>
      <c r="D18" s="1284"/>
      <c r="E18" s="1284"/>
      <c r="F18" s="1284"/>
      <c r="G18" s="1284"/>
      <c r="H18" s="1284"/>
      <c r="I18" s="1284"/>
      <c r="J18" s="1284"/>
      <c r="K18" s="1284"/>
      <c r="L18" s="1284"/>
      <c r="M18" s="1284"/>
      <c r="N18" s="1284"/>
      <c r="O18" s="1284"/>
      <c r="P18" s="1284"/>
      <c r="Q18" s="1284"/>
      <c r="R18" s="1284"/>
      <c r="S18" s="1284"/>
      <c r="T18" s="1284"/>
      <c r="U18" s="1284"/>
      <c r="V18" s="1284"/>
      <c r="W18" s="1285"/>
    </row>
  </sheetData>
  <sheetProtection password="DA2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00B0F0"/>
    <pageSetUpPr fitToPage="1"/>
  </sheetPr>
  <dimension ref="A1:BQ133"/>
  <sheetViews>
    <sheetView topLeftCell="A2" zoomScaleNormal="100" zoomScaleSheetLayoutView="80" workbookViewId="0">
      <selection activeCell="A2" sqref="A2"/>
    </sheetView>
  </sheetViews>
  <sheetFormatPr defaultColWidth="9.21875" defaultRowHeight="14.4" x14ac:dyDescent="0.3"/>
  <cols>
    <col min="1" max="1" width="4.44140625" style="90" customWidth="1"/>
    <col min="2" max="2" width="2" style="90" customWidth="1"/>
    <col min="3" max="12" width="3.77734375" style="90" customWidth="1"/>
    <col min="13" max="14" width="7.44140625" style="90" customWidth="1"/>
    <col min="15" max="15" width="6.44140625" style="90" customWidth="1"/>
    <col min="16" max="29" width="9.21875" style="90" customWidth="1"/>
    <col min="30" max="30" width="1.5546875" style="90" customWidth="1"/>
    <col min="31" max="31" width="4.44140625" style="90" customWidth="1"/>
    <col min="32" max="16384" width="9.21875" style="93"/>
  </cols>
  <sheetData>
    <row r="1" spans="1:69" ht="8.25" hidden="1" customHeight="1" x14ac:dyDescent="0.3">
      <c r="A1" s="5" t="str">
        <f>'Data Analysis'!B194</f>
        <v>Dashboard</v>
      </c>
      <c r="B1" s="5"/>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69" ht="30.6" x14ac:dyDescent="0.55000000000000004">
      <c r="A2" s="5"/>
      <c r="B2" s="5"/>
      <c r="C2" s="5"/>
      <c r="D2" s="5"/>
      <c r="E2" s="5"/>
      <c r="F2" s="5"/>
      <c r="G2" s="5"/>
      <c r="H2" s="5"/>
      <c r="I2" s="5"/>
      <c r="J2" s="5"/>
      <c r="K2" s="5"/>
      <c r="L2" s="5"/>
      <c r="M2" s="5"/>
      <c r="N2" s="5"/>
      <c r="O2" s="5"/>
      <c r="P2" s="5"/>
      <c r="Q2" s="5"/>
      <c r="R2" s="1271" t="s">
        <v>431</v>
      </c>
      <c r="S2" s="42"/>
      <c r="T2" s="5"/>
      <c r="U2" s="5"/>
      <c r="V2" s="5"/>
      <c r="W2" s="5"/>
      <c r="X2" s="5"/>
      <c r="Y2" s="5"/>
      <c r="Z2" s="5"/>
      <c r="AA2" s="5"/>
      <c r="AB2" s="5"/>
      <c r="AC2" s="5"/>
      <c r="AD2" s="5"/>
      <c r="AE2" s="5"/>
    </row>
    <row r="3" spans="1:69" hidden="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69" ht="18.75" customHeight="1" x14ac:dyDescent="0.3">
      <c r="A4" s="5"/>
      <c r="B4" s="53" t="str">
        <f>'0.Basic Project Data'!D6</f>
        <v>Project Name:</v>
      </c>
      <c r="C4" s="53"/>
      <c r="D4" s="53"/>
      <c r="E4" s="53"/>
      <c r="F4" s="53"/>
      <c r="G4" s="232">
        <f>'0.Basic Project Data'!H6</f>
        <v>0</v>
      </c>
      <c r="H4" s="233"/>
      <c r="I4" s="233"/>
      <c r="J4" s="233"/>
      <c r="K4" s="240"/>
      <c r="L4" s="232"/>
      <c r="M4" s="232"/>
      <c r="N4" s="227"/>
      <c r="O4" s="5"/>
      <c r="P4" s="5"/>
      <c r="Q4" s="5"/>
      <c r="R4" s="5"/>
      <c r="S4" s="5"/>
      <c r="T4" s="5"/>
      <c r="U4" s="5"/>
      <c r="V4" s="228" t="str">
        <f>'0.Basic Project Data'!D7</f>
        <v>Implementing Government Agency:</v>
      </c>
      <c r="W4" s="228"/>
      <c r="X4" s="228"/>
      <c r="Y4" s="228"/>
      <c r="Z4" s="53"/>
      <c r="AA4" s="230">
        <f>'0.Basic Project Data'!H7</f>
        <v>0</v>
      </c>
      <c r="AB4" s="232"/>
      <c r="AC4" s="232"/>
      <c r="AD4" s="240"/>
      <c r="AE4" s="5"/>
      <c r="AV4" s="271"/>
      <c r="AW4" s="271"/>
    </row>
    <row r="5" spans="1:69" ht="18.75" customHeight="1" x14ac:dyDescent="0.3">
      <c r="A5" s="5"/>
      <c r="B5" s="53" t="str">
        <f>'0.Basic Project Data'!D12</f>
        <v>Sector</v>
      </c>
      <c r="C5" s="227"/>
      <c r="D5" s="227"/>
      <c r="E5" s="3"/>
      <c r="F5" s="3" t="s">
        <v>273</v>
      </c>
      <c r="G5" s="240">
        <f>'0.Basic Project Data'!H12</f>
        <v>0</v>
      </c>
      <c r="H5" s="240"/>
      <c r="I5" s="240"/>
      <c r="J5" s="240"/>
      <c r="K5" s="240"/>
      <c r="L5" s="240"/>
      <c r="M5" s="240"/>
      <c r="N5" s="229"/>
      <c r="O5" s="5"/>
      <c r="P5" s="5"/>
      <c r="Q5" s="5"/>
      <c r="R5" s="5"/>
      <c r="S5" s="5"/>
      <c r="T5" s="5"/>
      <c r="U5" s="5"/>
      <c r="V5" s="53" t="str">
        <f>'0.Basic Project Data'!D22</f>
        <v>Main source of project revenues</v>
      </c>
      <c r="W5" s="229"/>
      <c r="X5" s="229"/>
      <c r="Y5" s="53"/>
      <c r="Z5" s="53"/>
      <c r="AA5" s="234" t="str">
        <f>'0.Basic Project Data'!H22</f>
        <v>Hybrid Payments</v>
      </c>
      <c r="AB5" s="234"/>
      <c r="AC5" s="234"/>
      <c r="AD5" s="241"/>
      <c r="AE5" s="5"/>
      <c r="AO5" s="225"/>
      <c r="AP5" s="225"/>
      <c r="AQ5" s="225"/>
      <c r="AS5" s="251"/>
      <c r="AT5" s="251"/>
      <c r="AV5" s="271"/>
      <c r="AW5" s="271"/>
    </row>
    <row r="6" spans="1:69" ht="18.75" customHeight="1" x14ac:dyDescent="0.3">
      <c r="A6" s="5"/>
      <c r="B6" s="228" t="str">
        <f>'0.Basic Project Data'!D13</f>
        <v>Project type</v>
      </c>
      <c r="C6" s="228"/>
      <c r="D6" s="228"/>
      <c r="E6" s="228"/>
      <c r="F6" s="228" t="s">
        <v>273</v>
      </c>
      <c r="G6" s="232" t="str">
        <f>'0.Basic Project Data'!H13</f>
        <v>Construction, Operations and Maintenance</v>
      </c>
      <c r="H6" s="231"/>
      <c r="I6" s="231"/>
      <c r="J6" s="231"/>
      <c r="K6" s="240"/>
      <c r="L6" s="232"/>
      <c r="M6" s="232"/>
      <c r="N6" s="230"/>
      <c r="O6" s="230"/>
      <c r="P6" s="230"/>
      <c r="Q6" s="53"/>
      <c r="R6" s="53"/>
      <c r="S6" s="53"/>
      <c r="T6" s="53"/>
      <c r="U6" s="53"/>
      <c r="V6" s="53"/>
      <c r="W6" s="53"/>
      <c r="X6" s="53"/>
      <c r="Y6" s="53"/>
      <c r="Z6" s="53"/>
      <c r="AA6" s="53"/>
      <c r="AB6" s="53"/>
      <c r="AC6" s="53"/>
      <c r="AD6" s="53"/>
      <c r="AE6" s="5"/>
      <c r="AV6" s="271"/>
      <c r="AW6" s="271"/>
    </row>
    <row r="7" spans="1:69" ht="5.25" customHeight="1" x14ac:dyDescent="0.3">
      <c r="A7" s="5"/>
      <c r="B7" s="38"/>
      <c r="C7" s="38"/>
      <c r="D7" s="38"/>
      <c r="E7" s="38"/>
      <c r="F7" s="38"/>
      <c r="G7" s="38"/>
      <c r="H7" s="38"/>
      <c r="I7" s="38"/>
      <c r="J7" s="38"/>
      <c r="K7" s="38"/>
      <c r="L7" s="38"/>
      <c r="M7" s="38"/>
      <c r="N7" s="38"/>
      <c r="O7" s="38"/>
      <c r="P7" s="38"/>
      <c r="Q7" s="235"/>
      <c r="R7" s="38"/>
      <c r="S7" s="38"/>
      <c r="T7" s="38"/>
      <c r="U7" s="38"/>
      <c r="V7" s="38"/>
      <c r="W7" s="38"/>
      <c r="X7" s="38"/>
      <c r="Y7" s="38"/>
      <c r="Z7" s="38"/>
      <c r="AA7" s="38"/>
      <c r="AB7" s="38"/>
      <c r="AC7" s="38"/>
      <c r="AD7" s="38"/>
      <c r="AE7" s="5"/>
      <c r="AV7" s="271"/>
      <c r="AW7" s="271"/>
    </row>
    <row r="8" spans="1:69" ht="6" customHeight="1" thickBot="1" x14ac:dyDescent="0.35">
      <c r="A8" s="5"/>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5"/>
      <c r="AV8" s="271"/>
      <c r="AW8" s="271"/>
    </row>
    <row r="9" spans="1:69" ht="14.25" customHeight="1" x14ac:dyDescent="0.3">
      <c r="A9" s="5"/>
      <c r="B9" s="245"/>
      <c r="C9" s="2401" t="s">
        <v>290</v>
      </c>
      <c r="D9" s="2402"/>
      <c r="E9" s="2402"/>
      <c r="F9" s="2402"/>
      <c r="G9" s="2402"/>
      <c r="H9" s="2402"/>
      <c r="I9" s="2402"/>
      <c r="J9" s="2402"/>
      <c r="K9" s="2402"/>
      <c r="L9" s="2402"/>
      <c r="M9" s="2402"/>
      <c r="N9" s="2403"/>
      <c r="O9" s="245"/>
      <c r="P9" s="2401" t="s">
        <v>291</v>
      </c>
      <c r="Q9" s="2402"/>
      <c r="R9" s="2402"/>
      <c r="S9" s="2402"/>
      <c r="T9" s="2402"/>
      <c r="U9" s="2402"/>
      <c r="V9" s="2402"/>
      <c r="W9" s="2402"/>
      <c r="X9" s="2402"/>
      <c r="Y9" s="2402"/>
      <c r="Z9" s="2402"/>
      <c r="AA9" s="2402"/>
      <c r="AB9" s="2402"/>
      <c r="AC9" s="2403"/>
      <c r="AD9" s="38"/>
      <c r="AE9" s="5"/>
      <c r="AV9" s="271"/>
      <c r="AW9" s="271"/>
    </row>
    <row r="10" spans="1:69" ht="14.25" customHeight="1" thickBot="1" x14ac:dyDescent="0.35">
      <c r="A10" s="5"/>
      <c r="B10" s="245"/>
      <c r="C10" s="2404"/>
      <c r="D10" s="2405"/>
      <c r="E10" s="2405"/>
      <c r="F10" s="2405"/>
      <c r="G10" s="2405"/>
      <c r="H10" s="2405"/>
      <c r="I10" s="2405"/>
      <c r="J10" s="2405"/>
      <c r="K10" s="2405"/>
      <c r="L10" s="2405"/>
      <c r="M10" s="2405"/>
      <c r="N10" s="2406"/>
      <c r="O10" s="245"/>
      <c r="P10" s="2404"/>
      <c r="Q10" s="2405"/>
      <c r="R10" s="2405"/>
      <c r="S10" s="2405"/>
      <c r="T10" s="2405"/>
      <c r="U10" s="2405"/>
      <c r="V10" s="2405"/>
      <c r="W10" s="2405"/>
      <c r="X10" s="2405"/>
      <c r="Y10" s="2405"/>
      <c r="Z10" s="2405"/>
      <c r="AA10" s="2405"/>
      <c r="AB10" s="2405"/>
      <c r="AC10" s="2406"/>
      <c r="AD10" s="38"/>
      <c r="AE10" s="5"/>
      <c r="AV10" s="271"/>
      <c r="AW10" s="271"/>
    </row>
    <row r="11" spans="1:69" ht="17.25" customHeight="1" x14ac:dyDescent="0.3">
      <c r="A11" s="5"/>
      <c r="B11" s="245"/>
      <c r="C11" s="14"/>
      <c r="D11" s="45"/>
      <c r="E11" s="45"/>
      <c r="F11" s="45"/>
      <c r="G11" s="45"/>
      <c r="H11" s="45"/>
      <c r="I11" s="45"/>
      <c r="J11" s="45"/>
      <c r="K11" s="45"/>
      <c r="L11" s="45"/>
      <c r="M11" s="45"/>
      <c r="N11" s="15"/>
      <c r="O11" s="245"/>
      <c r="P11" s="2407" t="s">
        <v>41</v>
      </c>
      <c r="Q11" s="2408" t="str">
        <f ca="1">Comments!AF14</f>
        <v>The project is strongly suited to be developed as a PPP. Proceed with project preparation.</v>
      </c>
      <c r="R11" s="2408"/>
      <c r="S11" s="2408"/>
      <c r="T11" s="2408"/>
      <c r="U11" s="2408"/>
      <c r="V11" s="2408"/>
      <c r="W11" s="2408"/>
      <c r="X11" s="2408"/>
      <c r="Y11" s="2408"/>
      <c r="Z11" s="2408"/>
      <c r="AA11" s="2408"/>
      <c r="AB11" s="2408"/>
      <c r="AC11" s="2409"/>
      <c r="AD11" s="38"/>
      <c r="AE11" s="5"/>
      <c r="AV11" s="271"/>
      <c r="AW11" s="271"/>
    </row>
    <row r="12" spans="1:69" ht="18.75" customHeight="1" x14ac:dyDescent="0.3">
      <c r="A12" s="5"/>
      <c r="B12" s="245"/>
      <c r="C12" s="14"/>
      <c r="D12" s="45"/>
      <c r="E12" s="45"/>
      <c r="F12" s="45"/>
      <c r="G12" s="45"/>
      <c r="H12" s="45"/>
      <c r="I12" s="45"/>
      <c r="J12" s="45"/>
      <c r="K12" s="45"/>
      <c r="L12" s="45"/>
      <c r="M12" s="45"/>
      <c r="N12" s="15"/>
      <c r="O12" s="245"/>
      <c r="P12" s="2199"/>
      <c r="Q12" s="2394"/>
      <c r="R12" s="2394"/>
      <c r="S12" s="2394"/>
      <c r="T12" s="2394"/>
      <c r="U12" s="2394"/>
      <c r="V12" s="2394"/>
      <c r="W12" s="2394"/>
      <c r="X12" s="2394"/>
      <c r="Y12" s="2394"/>
      <c r="Z12" s="2394"/>
      <c r="AA12" s="2394"/>
      <c r="AB12" s="2394"/>
      <c r="AC12" s="2395"/>
      <c r="AD12" s="38"/>
      <c r="AE12" s="5"/>
      <c r="AG12" s="93" t="s">
        <v>530</v>
      </c>
      <c r="AT12" s="2363"/>
      <c r="AU12" s="2363"/>
      <c r="AV12" s="2363"/>
      <c r="AW12" s="2363"/>
      <c r="AX12" s="2363"/>
      <c r="AY12" s="2363"/>
      <c r="AZ12" s="2363"/>
      <c r="BA12" s="2363"/>
      <c r="BB12" s="2363"/>
      <c r="BC12" s="2363"/>
      <c r="BD12" s="2363"/>
      <c r="BE12" s="2363"/>
      <c r="BP12" s="1628" t="s">
        <v>222</v>
      </c>
      <c r="BQ12" s="1629">
        <f ca="1">'Data Analysis'!P197</f>
        <v>174.21120000000002</v>
      </c>
    </row>
    <row r="13" spans="1:69" ht="27.75" customHeight="1" x14ac:dyDescent="0.3">
      <c r="A13" s="5"/>
      <c r="B13" s="245"/>
      <c r="C13" s="14" t="str">
        <f ca="1">IF(AND($A$59&gt;=AI3,$A$59&lt;AJ3),"↓","")</f>
        <v/>
      </c>
      <c r="D13" s="45"/>
      <c r="E13" s="45"/>
      <c r="F13" s="45"/>
      <c r="G13" s="45"/>
      <c r="H13" s="45"/>
      <c r="I13" s="45"/>
      <c r="J13" s="45"/>
      <c r="K13" s="45"/>
      <c r="L13" s="45"/>
      <c r="M13" s="45"/>
      <c r="N13" s="15"/>
      <c r="O13" s="245"/>
      <c r="P13" s="2199"/>
      <c r="Q13" s="2394"/>
      <c r="R13" s="2394"/>
      <c r="S13" s="2394"/>
      <c r="T13" s="2394"/>
      <c r="U13" s="2394"/>
      <c r="V13" s="2394"/>
      <c r="W13" s="2394"/>
      <c r="X13" s="2394"/>
      <c r="Y13" s="2394"/>
      <c r="Z13" s="2394"/>
      <c r="AA13" s="2394"/>
      <c r="AB13" s="2394"/>
      <c r="AC13" s="2395"/>
      <c r="AD13" s="38"/>
      <c r="AE13" s="5"/>
      <c r="AH13" s="271"/>
      <c r="BP13" s="1630" t="s">
        <v>10</v>
      </c>
      <c r="BQ13" s="1631">
        <f>'Data Analysis'!P198</f>
        <v>1</v>
      </c>
    </row>
    <row r="14" spans="1:69" ht="14.25" customHeight="1" x14ac:dyDescent="0.4">
      <c r="A14" s="5"/>
      <c r="B14" s="245"/>
      <c r="C14" s="14"/>
      <c r="D14" s="45"/>
      <c r="E14" s="45"/>
      <c r="F14" s="45"/>
      <c r="G14" s="45"/>
      <c r="H14" s="45"/>
      <c r="I14" s="45"/>
      <c r="J14" s="45"/>
      <c r="K14" s="45"/>
      <c r="L14" s="45"/>
      <c r="M14" s="45"/>
      <c r="N14" s="15"/>
      <c r="O14" s="245"/>
      <c r="P14" s="2199"/>
      <c r="Q14" s="2394"/>
      <c r="R14" s="2394"/>
      <c r="S14" s="2394"/>
      <c r="T14" s="2394"/>
      <c r="U14" s="2394"/>
      <c r="V14" s="2394"/>
      <c r="W14" s="2394"/>
      <c r="X14" s="2394"/>
      <c r="Y14" s="2394"/>
      <c r="Z14" s="2394"/>
      <c r="AA14" s="2394"/>
      <c r="AB14" s="2394"/>
      <c r="AC14" s="2395"/>
      <c r="AD14" s="38"/>
      <c r="AE14" s="5"/>
      <c r="BD14" s="247"/>
      <c r="BP14" s="1632" t="s">
        <v>11</v>
      </c>
      <c r="BQ14" s="1633">
        <f ca="1">'Data Analysis'!P199</f>
        <v>184.78879999999998</v>
      </c>
    </row>
    <row r="15" spans="1:69" ht="14.25" customHeight="1" x14ac:dyDescent="0.3">
      <c r="A15" s="5"/>
      <c r="B15" s="245"/>
      <c r="C15" s="14"/>
      <c r="D15" s="45"/>
      <c r="E15" s="45"/>
      <c r="F15" s="45"/>
      <c r="G15" s="45"/>
      <c r="H15" s="45"/>
      <c r="I15" s="45"/>
      <c r="J15" s="45"/>
      <c r="K15" s="45"/>
      <c r="L15" s="45"/>
      <c r="M15" s="45"/>
      <c r="N15" s="15"/>
      <c r="O15" s="245"/>
      <c r="P15" s="2199" t="s">
        <v>41</v>
      </c>
      <c r="Q15" s="2394" t="str">
        <f ca="1">Comments!AF15</f>
        <v xml:space="preserve">Prepare a comprehensive feasibility study to firm up the project fundamentals prior to the private partner procurement process. </v>
      </c>
      <c r="R15" s="2394"/>
      <c r="S15" s="2394"/>
      <c r="T15" s="2394"/>
      <c r="U15" s="2394"/>
      <c r="V15" s="2394"/>
      <c r="W15" s="2394"/>
      <c r="X15" s="2394"/>
      <c r="Y15" s="2394"/>
      <c r="Z15" s="2394"/>
      <c r="AA15" s="2394"/>
      <c r="AB15" s="2394"/>
      <c r="AC15" s="2395"/>
      <c r="AD15" s="38"/>
      <c r="AE15" s="5"/>
    </row>
    <row r="16" spans="1:69" ht="14.25" customHeight="1" x14ac:dyDescent="0.3">
      <c r="A16" s="5"/>
      <c r="B16" s="245"/>
      <c r="C16" s="14"/>
      <c r="D16" s="45"/>
      <c r="E16" s="45"/>
      <c r="F16" s="45"/>
      <c r="G16" s="45"/>
      <c r="H16" s="45"/>
      <c r="I16" s="45"/>
      <c r="J16" s="45"/>
      <c r="K16" s="45"/>
      <c r="L16" s="45"/>
      <c r="M16" s="45"/>
      <c r="N16" s="15"/>
      <c r="O16" s="245"/>
      <c r="P16" s="2199"/>
      <c r="Q16" s="2394"/>
      <c r="R16" s="2394"/>
      <c r="S16" s="2394"/>
      <c r="T16" s="2394"/>
      <c r="U16" s="2394"/>
      <c r="V16" s="2394"/>
      <c r="W16" s="2394"/>
      <c r="X16" s="2394"/>
      <c r="Y16" s="2394"/>
      <c r="Z16" s="2394"/>
      <c r="AA16" s="2394"/>
      <c r="AB16" s="2394"/>
      <c r="AC16" s="2395"/>
      <c r="AD16" s="38"/>
      <c r="AE16" s="5"/>
      <c r="AT16" s="2363"/>
      <c r="AU16" s="2363"/>
      <c r="AV16" s="2363"/>
      <c r="AW16" s="2363"/>
      <c r="AX16" s="2363"/>
      <c r="AY16" s="2363"/>
      <c r="AZ16" s="2363"/>
      <c r="BA16" s="2363"/>
      <c r="BB16" s="2363"/>
      <c r="BC16" s="2363"/>
      <c r="BD16" s="2363"/>
      <c r="BE16" s="2363"/>
    </row>
    <row r="17" spans="1:67" ht="14.25" customHeight="1" x14ac:dyDescent="0.3">
      <c r="A17" s="5"/>
      <c r="B17" s="245"/>
      <c r="C17" s="14"/>
      <c r="D17" s="45"/>
      <c r="E17" s="45"/>
      <c r="F17" s="45"/>
      <c r="G17" s="45"/>
      <c r="H17" s="45"/>
      <c r="I17" s="45"/>
      <c r="J17" s="45"/>
      <c r="K17" s="45"/>
      <c r="L17" s="45"/>
      <c r="M17" s="45"/>
      <c r="N17" s="15"/>
      <c r="O17" s="245"/>
      <c r="P17" s="2199"/>
      <c r="Q17" s="2394"/>
      <c r="R17" s="2394"/>
      <c r="S17" s="2394"/>
      <c r="T17" s="2394"/>
      <c r="U17" s="2394"/>
      <c r="V17" s="2394"/>
      <c r="W17" s="2394"/>
      <c r="X17" s="2394"/>
      <c r="Y17" s="2394"/>
      <c r="Z17" s="2394"/>
      <c r="AA17" s="2394"/>
      <c r="AB17" s="2394"/>
      <c r="AC17" s="2395"/>
      <c r="AD17" s="38"/>
      <c r="AE17" s="5"/>
      <c r="BN17" s="90"/>
      <c r="BO17" s="90"/>
    </row>
    <row r="18" spans="1:67" ht="14.25" customHeight="1" x14ac:dyDescent="0.3">
      <c r="A18" s="5"/>
      <c r="B18" s="245"/>
      <c r="C18" s="185"/>
      <c r="D18" s="61"/>
      <c r="E18" s="61"/>
      <c r="F18" s="61"/>
      <c r="G18" s="61"/>
      <c r="H18" s="61"/>
      <c r="I18" s="61"/>
      <c r="J18" s="61"/>
      <c r="K18" s="61"/>
      <c r="L18" s="61"/>
      <c r="M18" s="61"/>
      <c r="N18" s="62"/>
      <c r="O18" s="245"/>
      <c r="P18" s="2199"/>
      <c r="Q18" s="2394"/>
      <c r="R18" s="2394"/>
      <c r="S18" s="2394"/>
      <c r="T18" s="2394"/>
      <c r="U18" s="2394"/>
      <c r="V18" s="2394"/>
      <c r="W18" s="2394"/>
      <c r="X18" s="2394"/>
      <c r="Y18" s="2394"/>
      <c r="Z18" s="2394"/>
      <c r="AA18" s="2394"/>
      <c r="AB18" s="2394"/>
      <c r="AC18" s="2395"/>
      <c r="AD18" s="38"/>
      <c r="AE18" s="5"/>
      <c r="BN18" s="90"/>
      <c r="BO18" s="90"/>
    </row>
    <row r="19" spans="1:67" ht="14.25" customHeight="1" x14ac:dyDescent="0.3">
      <c r="A19" s="5"/>
      <c r="B19" s="245"/>
      <c r="C19" s="185"/>
      <c r="D19" s="61"/>
      <c r="E19" s="61"/>
      <c r="F19" s="61"/>
      <c r="G19" s="61"/>
      <c r="H19" s="61"/>
      <c r="I19" s="61"/>
      <c r="J19" s="61"/>
      <c r="K19" s="61"/>
      <c r="L19" s="61"/>
      <c r="M19" s="61"/>
      <c r="N19" s="62"/>
      <c r="O19" s="245"/>
      <c r="P19" s="92"/>
      <c r="Q19" s="2394"/>
      <c r="R19" s="2394"/>
      <c r="S19" s="2394"/>
      <c r="T19" s="2394"/>
      <c r="U19" s="2394"/>
      <c r="V19" s="2394"/>
      <c r="W19" s="2394"/>
      <c r="X19" s="2394"/>
      <c r="Y19" s="2394"/>
      <c r="Z19" s="2394"/>
      <c r="AA19" s="2394"/>
      <c r="AB19" s="2394"/>
      <c r="AC19" s="2395"/>
      <c r="AD19" s="38"/>
      <c r="AE19" s="5"/>
      <c r="BN19" s="90"/>
      <c r="BO19" s="90"/>
    </row>
    <row r="20" spans="1:67" ht="14.25" customHeight="1" x14ac:dyDescent="0.3">
      <c r="A20" s="5"/>
      <c r="B20" s="245"/>
      <c r="C20" s="185"/>
      <c r="D20" s="61"/>
      <c r="E20" s="61"/>
      <c r="F20" s="61"/>
      <c r="G20" s="61"/>
      <c r="H20" s="61"/>
      <c r="I20" s="61"/>
      <c r="J20" s="61"/>
      <c r="K20" s="61"/>
      <c r="L20" s="61"/>
      <c r="M20" s="61"/>
      <c r="N20" s="62"/>
      <c r="O20" s="245"/>
      <c r="P20" s="1369"/>
      <c r="Q20" s="267" t="s">
        <v>494</v>
      </c>
      <c r="R20" s="1370"/>
      <c r="S20" s="1370"/>
      <c r="T20" s="1370"/>
      <c r="U20" s="1370"/>
      <c r="V20" s="317">
        <f>'Data Analysis'!I249</f>
        <v>0</v>
      </c>
      <c r="W20" s="1370"/>
      <c r="X20" s="2344" t="str">
        <f>IF(SUM(V20:V21)&gt;0,"WARNING: PLEASE CHECK PRE-REQUISITES","")</f>
        <v/>
      </c>
      <c r="Y20" s="2344"/>
      <c r="Z20" s="2344"/>
      <c r="AA20" s="2344"/>
      <c r="AB20" s="2344"/>
      <c r="AC20" s="2345"/>
      <c r="AD20" s="38"/>
      <c r="AE20" s="5"/>
      <c r="BN20" s="90"/>
      <c r="BO20" s="90"/>
    </row>
    <row r="21" spans="1:67" ht="14.25" customHeight="1" x14ac:dyDescent="0.3">
      <c r="A21" s="5"/>
      <c r="B21" s="245"/>
      <c r="C21" s="185"/>
      <c r="D21" s="61"/>
      <c r="E21" s="61"/>
      <c r="F21" s="61"/>
      <c r="G21" s="61"/>
      <c r="H21" s="61"/>
      <c r="I21" s="61"/>
      <c r="J21" s="61"/>
      <c r="K21" s="61"/>
      <c r="L21" s="61"/>
      <c r="M21" s="61"/>
      <c r="N21" s="62"/>
      <c r="O21" s="1958"/>
      <c r="P21" s="1369"/>
      <c r="Q21" s="267" t="s">
        <v>495</v>
      </c>
      <c r="R21" s="1370"/>
      <c r="S21" s="1370"/>
      <c r="T21" s="1370"/>
      <c r="U21" s="1370"/>
      <c r="V21" s="317">
        <f>'Data Analysis'!I251</f>
        <v>0</v>
      </c>
      <c r="W21" s="1370"/>
      <c r="X21" s="2344"/>
      <c r="Y21" s="2344"/>
      <c r="Z21" s="2344"/>
      <c r="AA21" s="2344"/>
      <c r="AB21" s="2344"/>
      <c r="AC21" s="2345"/>
      <c r="AD21" s="38"/>
      <c r="AE21" s="5"/>
      <c r="AH21" s="271"/>
      <c r="BN21" s="90"/>
      <c r="BO21" s="90"/>
    </row>
    <row r="22" spans="1:67" ht="15" customHeight="1" x14ac:dyDescent="0.3">
      <c r="A22" s="5"/>
      <c r="B22" s="245"/>
      <c r="C22" s="14" t="str">
        <f>IF(AND($A$70&gt;=AI3,$A$70&lt;AJ3),"↓","")</f>
        <v/>
      </c>
      <c r="D22" s="45"/>
      <c r="E22" s="45"/>
      <c r="F22" s="45"/>
      <c r="G22" s="45"/>
      <c r="H22" s="45"/>
      <c r="I22" s="45"/>
      <c r="J22" s="45"/>
      <c r="K22" s="45"/>
      <c r="L22" s="45"/>
      <c r="M22" s="45"/>
      <c r="N22" s="15"/>
      <c r="O22" s="245"/>
      <c r="P22" s="92"/>
      <c r="Q22" s="267" t="s">
        <v>274</v>
      </c>
      <c r="R22" s="314"/>
      <c r="S22" s="314"/>
      <c r="T22" s="315"/>
      <c r="U22" s="316"/>
      <c r="V22" s="317">
        <f ca="1">'Data Analysis'!AF199</f>
        <v>0</v>
      </c>
      <c r="W22" s="316"/>
      <c r="X22" s="2414" t="str">
        <f>IF(V24&gt;0,"WARNING: 
PLEASE ADDRESS DEAL BREAKERS 
BEFORE PROCEEDING",IF(SUM(V25:V26)&gt;0,"WARNING: PLEASE ADDRESS DEAL BREAKERS BEFORE PROCEEDING",""))</f>
        <v/>
      </c>
      <c r="Y22" s="2414"/>
      <c r="Z22" s="2414"/>
      <c r="AA22" s="2414"/>
      <c r="AB22" s="2414"/>
      <c r="AC22" s="2415"/>
      <c r="AD22" s="38"/>
      <c r="AE22" s="5"/>
      <c r="AT22" s="2363"/>
      <c r="AU22" s="2363"/>
      <c r="AV22" s="2363"/>
      <c r="AW22" s="2363"/>
      <c r="AX22" s="2363"/>
      <c r="AY22" s="2363"/>
      <c r="AZ22" s="2363"/>
      <c r="BA22" s="2363"/>
      <c r="BB22" s="2363"/>
      <c r="BC22" s="2363"/>
      <c r="BD22" s="2363"/>
      <c r="BE22" s="2363"/>
      <c r="BN22" s="90"/>
      <c r="BO22" s="90"/>
    </row>
    <row r="23" spans="1:67" ht="15" customHeight="1" x14ac:dyDescent="0.5">
      <c r="A23" s="5"/>
      <c r="B23" s="245"/>
      <c r="C23" s="236"/>
      <c r="D23" s="226"/>
      <c r="E23" s="226"/>
      <c r="F23" s="226"/>
      <c r="G23" s="226"/>
      <c r="H23" s="226"/>
      <c r="I23" s="226"/>
      <c r="J23" s="226"/>
      <c r="K23" s="226"/>
      <c r="L23" s="226"/>
      <c r="M23" s="226"/>
      <c r="N23" s="237"/>
      <c r="O23" s="245"/>
      <c r="P23" s="246"/>
      <c r="Q23" s="267" t="s">
        <v>275</v>
      </c>
      <c r="R23" s="314"/>
      <c r="S23" s="314"/>
      <c r="T23" s="315"/>
      <c r="U23" s="316"/>
      <c r="V23" s="318">
        <f ca="1">'Data Analysis'!AF201</f>
        <v>0</v>
      </c>
      <c r="W23" s="316"/>
      <c r="X23" s="2414"/>
      <c r="Y23" s="2414"/>
      <c r="Z23" s="2414"/>
      <c r="AA23" s="2414"/>
      <c r="AB23" s="2414"/>
      <c r="AC23" s="2415"/>
      <c r="AD23" s="38"/>
      <c r="AE23" s="5"/>
      <c r="BN23" s="90"/>
      <c r="BO23" s="90"/>
    </row>
    <row r="24" spans="1:67" ht="15" customHeight="1" x14ac:dyDescent="0.5">
      <c r="A24" s="5"/>
      <c r="B24" s="245"/>
      <c r="C24" s="236"/>
      <c r="D24" s="226"/>
      <c r="E24" s="226"/>
      <c r="F24" s="226"/>
      <c r="G24" s="226"/>
      <c r="H24" s="226"/>
      <c r="I24" s="226"/>
      <c r="J24" s="226"/>
      <c r="K24" s="226"/>
      <c r="L24" s="226"/>
      <c r="M24" s="226"/>
      <c r="N24" s="237"/>
      <c r="O24" s="245"/>
      <c r="P24" s="246"/>
      <c r="Q24" s="267" t="s">
        <v>472</v>
      </c>
      <c r="R24" s="314"/>
      <c r="S24" s="314"/>
      <c r="T24" s="315"/>
      <c r="U24" s="319"/>
      <c r="V24" s="318">
        <f>'Data Analysis'!E265</f>
        <v>0</v>
      </c>
      <c r="W24" s="319"/>
      <c r="X24" s="2414"/>
      <c r="Y24" s="2414"/>
      <c r="Z24" s="2414"/>
      <c r="AA24" s="2414"/>
      <c r="AB24" s="2414"/>
      <c r="AC24" s="2415"/>
      <c r="AD24" s="38"/>
      <c r="AE24" s="5"/>
      <c r="BN24" s="90"/>
      <c r="BO24" s="90"/>
    </row>
    <row r="25" spans="1:67" ht="15" customHeight="1" x14ac:dyDescent="0.5">
      <c r="A25" s="5"/>
      <c r="B25" s="245"/>
      <c r="C25" s="236"/>
      <c r="D25" s="226"/>
      <c r="E25" s="226"/>
      <c r="F25" s="226"/>
      <c r="G25" s="226"/>
      <c r="H25" s="226"/>
      <c r="I25" s="226"/>
      <c r="J25" s="226"/>
      <c r="K25" s="226"/>
      <c r="L25" s="226"/>
      <c r="M25" s="226"/>
      <c r="N25" s="237"/>
      <c r="O25" s="245"/>
      <c r="P25" s="246"/>
      <c r="Q25" s="267" t="s">
        <v>485</v>
      </c>
      <c r="R25" s="314"/>
      <c r="S25" s="314"/>
      <c r="T25" s="315"/>
      <c r="U25" s="319"/>
      <c r="V25" s="318">
        <f>'Data Analysis'!J267</f>
        <v>0</v>
      </c>
      <c r="W25" s="319"/>
      <c r="X25" s="2414"/>
      <c r="Y25" s="2414"/>
      <c r="Z25" s="2414"/>
      <c r="AA25" s="2414"/>
      <c r="AB25" s="2414"/>
      <c r="AC25" s="2415"/>
      <c r="AD25" s="38"/>
      <c r="AE25" s="5"/>
      <c r="BN25" s="90"/>
      <c r="BO25" s="90"/>
    </row>
    <row r="26" spans="1:67" ht="15" customHeight="1" x14ac:dyDescent="0.5">
      <c r="A26" s="5"/>
      <c r="B26" s="245"/>
      <c r="C26" s="236"/>
      <c r="D26" s="226"/>
      <c r="E26" s="226"/>
      <c r="F26" s="226"/>
      <c r="G26" s="226"/>
      <c r="H26" s="226"/>
      <c r="I26" s="226"/>
      <c r="J26" s="226"/>
      <c r="K26" s="226"/>
      <c r="L26" s="226"/>
      <c r="M26" s="226"/>
      <c r="N26" s="237"/>
      <c r="O26" s="245"/>
      <c r="P26" s="246"/>
      <c r="Q26" s="267" t="s">
        <v>486</v>
      </c>
      <c r="R26" s="314"/>
      <c r="S26" s="314"/>
      <c r="T26" s="315"/>
      <c r="U26" s="319"/>
      <c r="V26" s="318">
        <f>'Data Analysis'!K267</f>
        <v>0</v>
      </c>
      <c r="W26" s="319"/>
      <c r="X26" s="2414"/>
      <c r="Y26" s="2414"/>
      <c r="Z26" s="2414"/>
      <c r="AA26" s="2414"/>
      <c r="AB26" s="2414"/>
      <c r="AC26" s="2415"/>
      <c r="AD26" s="38"/>
      <c r="AE26" s="5"/>
      <c r="BN26" s="90"/>
      <c r="BO26" s="90"/>
    </row>
    <row r="27" spans="1:67" ht="14.25" customHeight="1" thickBot="1" x14ac:dyDescent="0.35">
      <c r="A27" s="5"/>
      <c r="B27" s="245"/>
      <c r="C27" s="238" t="str">
        <f>IF(AND($A$73&gt;=AI3,$A$73&lt;AJ3),"↓","")</f>
        <v/>
      </c>
      <c r="D27" s="71"/>
      <c r="E27" s="71"/>
      <c r="F27" s="71"/>
      <c r="G27" s="71"/>
      <c r="H27" s="71"/>
      <c r="I27" s="71"/>
      <c r="J27" s="71"/>
      <c r="K27" s="71"/>
      <c r="L27" s="71"/>
      <c r="M27" s="71"/>
      <c r="N27" s="72"/>
      <c r="O27" s="245"/>
      <c r="P27" s="268"/>
      <c r="Q27" s="284"/>
      <c r="R27" s="284"/>
      <c r="S27" s="284"/>
      <c r="T27" s="284"/>
      <c r="U27" s="125"/>
      <c r="V27" s="125"/>
      <c r="W27" s="125"/>
      <c r="X27" s="2416"/>
      <c r="Y27" s="2416"/>
      <c r="Z27" s="2416"/>
      <c r="AA27" s="2416"/>
      <c r="AB27" s="2416"/>
      <c r="AC27" s="2417"/>
      <c r="AD27" s="38"/>
      <c r="AE27" s="5"/>
      <c r="AT27" s="2363"/>
      <c r="AU27" s="2363"/>
      <c r="AV27" s="2363"/>
      <c r="AW27" s="2363"/>
      <c r="AX27" s="2363"/>
      <c r="AY27" s="2363"/>
      <c r="AZ27" s="2363"/>
      <c r="BA27" s="2363"/>
      <c r="BB27" s="2363"/>
      <c r="BC27" s="2363"/>
      <c r="BD27" s="2363"/>
      <c r="BE27" s="2363"/>
    </row>
    <row r="28" spans="1:67" ht="11.25" customHeight="1" thickBot="1" x14ac:dyDescent="0.45">
      <c r="A28" s="5"/>
      <c r="B28" s="38"/>
      <c r="C28" s="38"/>
      <c r="D28" s="38"/>
      <c r="E28" s="38"/>
      <c r="F28" s="38"/>
      <c r="G28" s="38"/>
      <c r="H28" s="38"/>
      <c r="I28" s="38"/>
      <c r="J28" s="38"/>
      <c r="K28" s="38"/>
      <c r="L28" s="38"/>
      <c r="M28" s="38"/>
      <c r="N28" s="38"/>
      <c r="O28" s="245"/>
      <c r="P28" s="245"/>
      <c r="Q28" s="245"/>
      <c r="R28" s="245"/>
      <c r="S28" s="245"/>
      <c r="T28" s="245"/>
      <c r="U28" s="60"/>
      <c r="V28" s="60"/>
      <c r="W28" s="60"/>
      <c r="X28" s="60"/>
      <c r="Y28" s="60"/>
      <c r="Z28" s="60"/>
      <c r="AA28" s="60"/>
      <c r="AB28" s="60"/>
      <c r="AC28" s="60"/>
      <c r="AD28" s="38"/>
      <c r="AE28" s="5"/>
      <c r="AT28" s="247"/>
      <c r="AU28" s="247"/>
      <c r="AV28" s="247"/>
      <c r="AW28" s="247"/>
      <c r="AX28" s="247"/>
      <c r="AY28" s="247"/>
      <c r="AZ28" s="247"/>
      <c r="BA28" s="247"/>
      <c r="BB28" s="247"/>
    </row>
    <row r="29" spans="1:67" ht="21" x14ac:dyDescent="0.4">
      <c r="A29" s="5"/>
      <c r="B29" s="38"/>
      <c r="C29" s="1310" t="s">
        <v>567</v>
      </c>
      <c r="D29" s="1311"/>
      <c r="E29" s="1311"/>
      <c r="F29" s="1311"/>
      <c r="G29" s="1311"/>
      <c r="H29" s="1311"/>
      <c r="I29" s="1311"/>
      <c r="J29" s="1311"/>
      <c r="K29" s="1311"/>
      <c r="L29" s="1311"/>
      <c r="M29" s="1311"/>
      <c r="N29" s="1311"/>
      <c r="O29" s="1312"/>
      <c r="P29" s="1312"/>
      <c r="Q29" s="1312"/>
      <c r="R29" s="1312"/>
      <c r="S29" s="1312"/>
      <c r="T29" s="1312"/>
      <c r="U29" s="1313"/>
      <c r="V29" s="1313"/>
      <c r="W29" s="1313"/>
      <c r="X29" s="1313"/>
      <c r="Y29" s="1313"/>
      <c r="Z29" s="1313"/>
      <c r="AA29" s="1313"/>
      <c r="AB29" s="2346" t="str">
        <f>IF('Data Analysis'!E248=0,"Not Applicable","Response")</f>
        <v>Response</v>
      </c>
      <c r="AC29" s="2347"/>
      <c r="AD29" s="38"/>
      <c r="AE29" s="5"/>
      <c r="AT29" s="247"/>
      <c r="AU29" s="247"/>
      <c r="AV29" s="247"/>
      <c r="AW29" s="247"/>
      <c r="AX29" s="247"/>
      <c r="AY29" s="247"/>
      <c r="AZ29" s="247"/>
      <c r="BA29" s="247"/>
      <c r="BB29" s="247"/>
    </row>
    <row r="30" spans="1:67" ht="15" customHeight="1" x14ac:dyDescent="0.4">
      <c r="A30" s="5"/>
      <c r="B30" s="38"/>
      <c r="C30" s="2358" t="str">
        <f>'0.Basic Project Data'!D18</f>
        <v>Is the project derived from a national plan or other medium- to long-term strategic document that establishes the development priorities at the highest levels of the government?</v>
      </c>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4" t="str">
        <f>'0.Basic Project Data'!H18</f>
        <v>Yes</v>
      </c>
      <c r="AC30" s="2374"/>
      <c r="AD30" s="38"/>
      <c r="AE30" s="5"/>
      <c r="AT30" s="247"/>
      <c r="AU30" s="247"/>
      <c r="AV30" s="247"/>
      <c r="AW30" s="247"/>
      <c r="AX30" s="247"/>
      <c r="AY30" s="247"/>
      <c r="AZ30" s="247"/>
      <c r="BA30" s="247"/>
      <c r="BB30" s="247"/>
    </row>
    <row r="31" spans="1:67" ht="15" customHeight="1" x14ac:dyDescent="0.4">
      <c r="A31" s="5"/>
      <c r="B31" s="38"/>
      <c r="C31" s="2358" t="str">
        <f>'0.Basic Project Data'!D19</f>
        <v>Is the project likely to be economically sound and have direct benefits that are significantly greater than the costs?</v>
      </c>
      <c r="D31" s="2359"/>
      <c r="E31" s="2359"/>
      <c r="F31" s="2359"/>
      <c r="G31" s="2359"/>
      <c r="H31" s="2359"/>
      <c r="I31" s="2359"/>
      <c r="J31" s="2359"/>
      <c r="K31" s="2359"/>
      <c r="L31" s="2359"/>
      <c r="M31" s="2359"/>
      <c r="N31" s="2359"/>
      <c r="O31" s="2359"/>
      <c r="P31" s="2359"/>
      <c r="Q31" s="2359"/>
      <c r="R31" s="2359"/>
      <c r="S31" s="2359"/>
      <c r="T31" s="2359"/>
      <c r="U31" s="2359"/>
      <c r="V31" s="2359"/>
      <c r="W31" s="2359"/>
      <c r="X31" s="2359"/>
      <c r="Y31" s="2359"/>
      <c r="Z31" s="2359"/>
      <c r="AA31" s="2359"/>
      <c r="AB31" s="2354" t="str">
        <f>'0.Basic Project Data'!H19</f>
        <v>Yes</v>
      </c>
      <c r="AC31" s="2355"/>
      <c r="AD31" s="38"/>
      <c r="AE31" s="5"/>
      <c r="AT31" s="247"/>
      <c r="AU31" s="247"/>
      <c r="AV31" s="247"/>
      <c r="AW31" s="247"/>
      <c r="AX31" s="247"/>
      <c r="AY31" s="247"/>
      <c r="AZ31" s="247"/>
      <c r="BA31" s="247"/>
      <c r="BB31" s="247"/>
    </row>
    <row r="32" spans="1:67" ht="15" customHeight="1" thickBot="1" x14ac:dyDescent="0.45">
      <c r="A32" s="5"/>
      <c r="B32" s="38"/>
      <c r="C32" s="2360" t="str">
        <f>'0.Basic Project Data'!D20</f>
        <v>Do sector laws, regulations or policies allow private sector participation in the project?</v>
      </c>
      <c r="D32" s="2361"/>
      <c r="E32" s="2361"/>
      <c r="F32" s="2361"/>
      <c r="G32" s="2361"/>
      <c r="H32" s="2361"/>
      <c r="I32" s="2361"/>
      <c r="J32" s="2361"/>
      <c r="K32" s="2361"/>
      <c r="L32" s="2361"/>
      <c r="M32" s="2361"/>
      <c r="N32" s="2361"/>
      <c r="O32" s="2361"/>
      <c r="P32" s="2361"/>
      <c r="Q32" s="2361"/>
      <c r="R32" s="2361"/>
      <c r="S32" s="2361"/>
      <c r="T32" s="2361"/>
      <c r="U32" s="2361"/>
      <c r="V32" s="2361"/>
      <c r="W32" s="2361"/>
      <c r="X32" s="2361"/>
      <c r="Y32" s="2361"/>
      <c r="Z32" s="2361"/>
      <c r="AA32" s="2361"/>
      <c r="AB32" s="2356" t="str">
        <f>'0.Basic Project Data'!H20</f>
        <v>Yes</v>
      </c>
      <c r="AC32" s="2357"/>
      <c r="AD32" s="38"/>
      <c r="AE32" s="5"/>
      <c r="AT32" s="247"/>
      <c r="AU32" s="247"/>
      <c r="AV32" s="247"/>
      <c r="AW32" s="247"/>
      <c r="AX32" s="247"/>
      <c r="AY32" s="247"/>
      <c r="AZ32" s="247"/>
      <c r="BA32" s="247"/>
      <c r="BB32" s="247"/>
    </row>
    <row r="33" spans="1:54" ht="15" customHeight="1" thickBot="1" x14ac:dyDescent="0.45">
      <c r="A33" s="5"/>
      <c r="B33" s="38"/>
      <c r="C33" s="38"/>
      <c r="D33" s="38"/>
      <c r="E33" s="38"/>
      <c r="F33" s="38"/>
      <c r="G33" s="38"/>
      <c r="H33" s="38"/>
      <c r="I33" s="38"/>
      <c r="J33" s="38"/>
      <c r="K33" s="38"/>
      <c r="L33" s="38"/>
      <c r="M33" s="38"/>
      <c r="N33" s="38"/>
      <c r="O33" s="245"/>
      <c r="P33" s="245"/>
      <c r="Q33" s="245"/>
      <c r="R33" s="245"/>
      <c r="S33" s="245"/>
      <c r="T33" s="245"/>
      <c r="U33" s="60"/>
      <c r="V33" s="60"/>
      <c r="W33" s="60"/>
      <c r="X33" s="60"/>
      <c r="Y33" s="60"/>
      <c r="Z33" s="60"/>
      <c r="AA33" s="60"/>
      <c r="AB33" s="60"/>
      <c r="AC33" s="60"/>
      <c r="AD33" s="38"/>
      <c r="AE33" s="5"/>
      <c r="AT33" s="247"/>
      <c r="AU33" s="247"/>
      <c r="AV33" s="247"/>
      <c r="AW33" s="247"/>
      <c r="AX33" s="247"/>
      <c r="AY33" s="247"/>
      <c r="AZ33" s="247"/>
      <c r="BA33" s="247"/>
      <c r="BB33" s="247"/>
    </row>
    <row r="34" spans="1:54" ht="21" x14ac:dyDescent="0.4">
      <c r="A34" s="5"/>
      <c r="B34" s="38"/>
      <c r="C34" s="1310" t="s">
        <v>566</v>
      </c>
      <c r="D34" s="1311"/>
      <c r="E34" s="1311"/>
      <c r="F34" s="1311"/>
      <c r="G34" s="1311"/>
      <c r="H34" s="1311"/>
      <c r="I34" s="1311"/>
      <c r="J34" s="1311"/>
      <c r="K34" s="1311"/>
      <c r="L34" s="1311"/>
      <c r="M34" s="1311"/>
      <c r="N34" s="1311"/>
      <c r="O34" s="1312"/>
      <c r="P34" s="1312"/>
      <c r="Q34" s="1312"/>
      <c r="R34" s="1312"/>
      <c r="S34" s="1312"/>
      <c r="T34" s="1312"/>
      <c r="U34" s="1313"/>
      <c r="V34" s="1313"/>
      <c r="W34" s="1313"/>
      <c r="X34" s="1313"/>
      <c r="Y34" s="1313"/>
      <c r="Z34" s="1313"/>
      <c r="AA34" s="1313"/>
      <c r="AB34" s="2346" t="str">
        <f>IF('Data Analysis'!E252=0,"Not Applicable","Response")</f>
        <v>Response</v>
      </c>
      <c r="AC34" s="2347"/>
      <c r="AD34" s="38"/>
      <c r="AE34" s="5"/>
      <c r="AT34" s="247"/>
      <c r="AU34" s="247"/>
      <c r="AV34" s="247"/>
      <c r="AW34" s="247"/>
      <c r="AX34" s="247"/>
      <c r="AY34" s="247"/>
      <c r="AZ34" s="247"/>
      <c r="BA34" s="247"/>
      <c r="BB34" s="247"/>
    </row>
    <row r="35" spans="1:54" ht="15" customHeight="1" x14ac:dyDescent="0.4">
      <c r="A35" s="5"/>
      <c r="B35" s="38"/>
      <c r="C35" s="2358" t="str">
        <f>IF('Data Analysis'!E253=1,'Data Analysis'!C253,0)</f>
        <v>Is there a clear articulation and substantiation of the service deficiency?</v>
      </c>
      <c r="D35" s="2359"/>
      <c r="E35" s="2359"/>
      <c r="F35" s="2359"/>
      <c r="G35" s="2359"/>
      <c r="H35" s="2359"/>
      <c r="I35" s="2359"/>
      <c r="J35" s="2359"/>
      <c r="K35" s="2359"/>
      <c r="L35" s="2359"/>
      <c r="M35" s="2359"/>
      <c r="N35" s="2359"/>
      <c r="O35" s="2359"/>
      <c r="P35" s="2359"/>
      <c r="Q35" s="2359"/>
      <c r="R35" s="2359"/>
      <c r="S35" s="2359"/>
      <c r="T35" s="2359"/>
      <c r="U35" s="2359"/>
      <c r="V35" s="2359"/>
      <c r="W35" s="2359"/>
      <c r="X35" s="2359"/>
      <c r="Y35" s="2359"/>
      <c r="Z35" s="2359"/>
      <c r="AA35" s="2359"/>
      <c r="AB35" s="2354" t="str">
        <f>'I.Strategic Suitability'!AA36</f>
        <v>Yes</v>
      </c>
      <c r="AC35" s="2374"/>
      <c r="AD35" s="38"/>
      <c r="AE35" s="5"/>
      <c r="AT35" s="247"/>
      <c r="AU35" s="247"/>
      <c r="AV35" s="247"/>
      <c r="AW35" s="247"/>
      <c r="AX35" s="247"/>
      <c r="AY35" s="247"/>
      <c r="AZ35" s="247"/>
      <c r="BA35" s="247"/>
      <c r="BB35" s="247"/>
    </row>
    <row r="36" spans="1:54" ht="15" customHeight="1" x14ac:dyDescent="0.4">
      <c r="A36" s="5"/>
      <c r="B36" s="38"/>
      <c r="C36" s="2358" t="str">
        <f>IF('Data Analysis'!E254=1,'Data Analysis'!C254,0)</f>
        <v>Has there been an assessment of all possible technical solutions to address the identified need?</v>
      </c>
      <c r="D36" s="2359"/>
      <c r="E36" s="2359"/>
      <c r="F36" s="2359"/>
      <c r="G36" s="2359"/>
      <c r="H36" s="2359"/>
      <c r="I36" s="2359"/>
      <c r="J36" s="2359"/>
      <c r="K36" s="2359"/>
      <c r="L36" s="2359"/>
      <c r="M36" s="2359"/>
      <c r="N36" s="2359"/>
      <c r="O36" s="2359"/>
      <c r="P36" s="2359"/>
      <c r="Q36" s="2359"/>
      <c r="R36" s="2359"/>
      <c r="S36" s="2359"/>
      <c r="T36" s="2359"/>
      <c r="U36" s="2359"/>
      <c r="V36" s="2359"/>
      <c r="W36" s="2359"/>
      <c r="X36" s="2359"/>
      <c r="Y36" s="2359"/>
      <c r="Z36" s="2359"/>
      <c r="AA36" s="2359"/>
      <c r="AB36" s="2354" t="str">
        <f>'I.Strategic Suitability'!AA41</f>
        <v>Yes</v>
      </c>
      <c r="AC36" s="2374"/>
      <c r="AD36" s="38"/>
      <c r="AE36" s="5"/>
      <c r="AT36" s="247"/>
      <c r="AU36" s="247"/>
      <c r="AV36" s="247"/>
      <c r="AW36" s="247"/>
      <c r="AX36" s="247"/>
      <c r="AY36" s="247"/>
      <c r="AZ36" s="247"/>
      <c r="BA36" s="247"/>
      <c r="BB36" s="247"/>
    </row>
    <row r="37" spans="1:54" ht="15" customHeight="1" x14ac:dyDescent="0.4">
      <c r="A37" s="5"/>
      <c r="B37" s="38"/>
      <c r="C37" s="2358" t="str">
        <f>IF('Data Analysis'!E255=1,'Data Analysis'!C255,0)</f>
        <v>Are the technical cost estimates in line with required output specifications and based on established benchmarks?</v>
      </c>
      <c r="D37" s="2359"/>
      <c r="E37" s="2359"/>
      <c r="F37" s="2359"/>
      <c r="G37" s="2359"/>
      <c r="H37" s="2359"/>
      <c r="I37" s="2359"/>
      <c r="J37" s="2359"/>
      <c r="K37" s="2359"/>
      <c r="L37" s="2359"/>
      <c r="M37" s="2359"/>
      <c r="N37" s="2359"/>
      <c r="O37" s="2359"/>
      <c r="P37" s="2359"/>
      <c r="Q37" s="2359"/>
      <c r="R37" s="2359"/>
      <c r="S37" s="2359"/>
      <c r="T37" s="2359"/>
      <c r="U37" s="2359"/>
      <c r="V37" s="2359"/>
      <c r="W37" s="2359"/>
      <c r="X37" s="2359"/>
      <c r="Y37" s="2359"/>
      <c r="Z37" s="2359"/>
      <c r="AA37" s="2359"/>
      <c r="AB37" s="2354" t="str">
        <f>'II.Preliminary Feasibility'!AB36:AC36</f>
        <v>Yes</v>
      </c>
      <c r="AC37" s="2374"/>
      <c r="AD37" s="38"/>
      <c r="AE37" s="5"/>
      <c r="AT37" s="247"/>
      <c r="AU37" s="247"/>
      <c r="AV37" s="247"/>
      <c r="AW37" s="247"/>
      <c r="AX37" s="247"/>
      <c r="AY37" s="247"/>
      <c r="AZ37" s="247"/>
      <c r="BA37" s="247"/>
      <c r="BB37" s="247"/>
    </row>
    <row r="38" spans="1:54" ht="15" customHeight="1" x14ac:dyDescent="0.4">
      <c r="A38" s="5"/>
      <c r="B38" s="38"/>
      <c r="C38" s="2358" t="str">
        <f>IF('Data Analysis'!E256=1,'Data Analysis'!C256,0)</f>
        <v xml:space="preserve">Is the proposed site location adequately accessible and offers manageable challenges during construction?  </v>
      </c>
      <c r="D38" s="2359"/>
      <c r="E38" s="2359"/>
      <c r="F38" s="2359"/>
      <c r="G38" s="2359"/>
      <c r="H38" s="2359"/>
      <c r="I38" s="2359"/>
      <c r="J38" s="2359"/>
      <c r="K38" s="2359"/>
      <c r="L38" s="2359"/>
      <c r="M38" s="2359"/>
      <c r="N38" s="2359"/>
      <c r="O38" s="2359"/>
      <c r="P38" s="2359"/>
      <c r="Q38" s="2359"/>
      <c r="R38" s="2359"/>
      <c r="S38" s="2359"/>
      <c r="T38" s="2359"/>
      <c r="U38" s="2359"/>
      <c r="V38" s="2359"/>
      <c r="W38" s="2359"/>
      <c r="X38" s="2359"/>
      <c r="Y38" s="2359"/>
      <c r="Z38" s="2359"/>
      <c r="AA38" s="2359"/>
      <c r="AB38" s="2354" t="str">
        <f>'II.Preliminary Feasibility'!AB39:AC39</f>
        <v>Yes</v>
      </c>
      <c r="AC38" s="2374"/>
      <c r="AD38" s="38"/>
      <c r="AE38" s="5"/>
      <c r="AT38" s="247"/>
      <c r="AU38" s="247"/>
      <c r="AV38" s="247"/>
      <c r="AW38" s="247"/>
      <c r="AX38" s="247"/>
      <c r="AY38" s="247"/>
      <c r="AZ38" s="247"/>
      <c r="BA38" s="247"/>
      <c r="BB38" s="247"/>
    </row>
    <row r="39" spans="1:54" ht="15" customHeight="1" x14ac:dyDescent="0.4">
      <c r="A39" s="5"/>
      <c r="B39" s="38"/>
      <c r="C39" s="2358" t="str">
        <f>IF('Data Analysis'!E257=1,'II.Preliminary Feasibility'!D44,0)</f>
        <v>Will the project have any significant negative impact on any natural resources or protected land?</v>
      </c>
      <c r="D39" s="2359"/>
      <c r="E39" s="2359"/>
      <c r="F39" s="2359"/>
      <c r="G39" s="2359"/>
      <c r="H39" s="2359"/>
      <c r="I39" s="2359"/>
      <c r="J39" s="2359"/>
      <c r="K39" s="2359"/>
      <c r="L39" s="2359"/>
      <c r="M39" s="2359"/>
      <c r="N39" s="2359"/>
      <c r="O39" s="2359"/>
      <c r="P39" s="2359"/>
      <c r="Q39" s="2359"/>
      <c r="R39" s="2359"/>
      <c r="S39" s="2359"/>
      <c r="T39" s="2359"/>
      <c r="U39" s="2359"/>
      <c r="V39" s="2359"/>
      <c r="W39" s="2359"/>
      <c r="X39" s="2359"/>
      <c r="Y39" s="2359"/>
      <c r="Z39" s="2359"/>
      <c r="AA39" s="2359"/>
      <c r="AB39" s="2354" t="str">
        <f>'II.Preliminary Feasibility'!AB44:AC44</f>
        <v>No</v>
      </c>
      <c r="AC39" s="2374"/>
      <c r="AD39" s="38"/>
      <c r="AE39" s="5"/>
      <c r="AT39" s="247"/>
      <c r="AU39" s="247"/>
      <c r="AV39" s="247"/>
      <c r="AW39" s="247"/>
      <c r="AX39" s="247"/>
      <c r="AY39" s="247"/>
      <c r="AZ39" s="247"/>
      <c r="BA39" s="247"/>
      <c r="BB39" s="247"/>
    </row>
    <row r="40" spans="1:54" ht="15" customHeight="1" x14ac:dyDescent="0.4">
      <c r="A40" s="5"/>
      <c r="B40" s="38"/>
      <c r="C40" s="2358" t="str">
        <f>IF('Data Analysis'!E258=1,'Data Analysis'!C258,0)</f>
        <v>The project is likely to be socially sustainable or have manageable social impacts?</v>
      </c>
      <c r="D40" s="2359"/>
      <c r="E40" s="2359"/>
      <c r="F40" s="2359"/>
      <c r="G40" s="2359"/>
      <c r="H40" s="2359"/>
      <c r="I40" s="2359"/>
      <c r="J40" s="2359"/>
      <c r="K40" s="2359"/>
      <c r="L40" s="2359"/>
      <c r="M40" s="2359"/>
      <c r="N40" s="2359"/>
      <c r="O40" s="2359"/>
      <c r="P40" s="2359"/>
      <c r="Q40" s="2359"/>
      <c r="R40" s="2359"/>
      <c r="S40" s="2359"/>
      <c r="T40" s="2359"/>
      <c r="U40" s="2359"/>
      <c r="V40" s="2359"/>
      <c r="W40" s="2359"/>
      <c r="X40" s="2359"/>
      <c r="Y40" s="2359"/>
      <c r="Z40" s="2359"/>
      <c r="AA40" s="2359"/>
      <c r="AB40" s="2354" t="str">
        <f>'II.Preliminary Feasibility'!AB53:AC53</f>
        <v>Yes</v>
      </c>
      <c r="AC40" s="2374"/>
      <c r="AD40" s="38"/>
      <c r="AE40" s="5"/>
      <c r="AT40" s="247"/>
      <c r="AU40" s="247"/>
      <c r="AV40" s="247"/>
      <c r="AW40" s="247"/>
      <c r="AX40" s="247"/>
      <c r="AY40" s="247"/>
      <c r="AZ40" s="247"/>
      <c r="BA40" s="247"/>
      <c r="BB40" s="247"/>
    </row>
    <row r="41" spans="1:54" ht="15" customHeight="1" x14ac:dyDescent="0.4">
      <c r="A41" s="5"/>
      <c r="B41" s="38"/>
      <c r="C41" s="2358" t="str">
        <f>IF('Data Analysis'!E259=1,'Data Analysis'!C259,0)</f>
        <v>Is there support for the project from affected communities and other key stakeholders?</v>
      </c>
      <c r="D41" s="2359"/>
      <c r="E41" s="2359"/>
      <c r="F41" s="2359"/>
      <c r="G41" s="2359"/>
      <c r="H41" s="2359"/>
      <c r="I41" s="2359"/>
      <c r="J41" s="2359"/>
      <c r="K41" s="2359"/>
      <c r="L41" s="2359"/>
      <c r="M41" s="2359"/>
      <c r="N41" s="2359"/>
      <c r="O41" s="2359"/>
      <c r="P41" s="2359"/>
      <c r="Q41" s="2359"/>
      <c r="R41" s="2359"/>
      <c r="S41" s="2359"/>
      <c r="T41" s="2359"/>
      <c r="U41" s="2359"/>
      <c r="V41" s="2359"/>
      <c r="W41" s="2359"/>
      <c r="X41" s="2359"/>
      <c r="Y41" s="2359"/>
      <c r="Z41" s="2359"/>
      <c r="AA41" s="2359"/>
      <c r="AB41" s="2354" t="str">
        <f>'II.Preliminary Feasibility'!AB56:AC56</f>
        <v>Yes</v>
      </c>
      <c r="AC41" s="2355"/>
      <c r="AD41" s="38"/>
      <c r="AE41" s="5"/>
      <c r="AT41" s="247"/>
      <c r="AU41" s="247"/>
      <c r="AV41" s="247"/>
      <c r="AW41" s="247"/>
      <c r="AX41" s="247"/>
      <c r="AY41" s="247"/>
      <c r="AZ41" s="247"/>
      <c r="BA41" s="247"/>
      <c r="BB41" s="247"/>
    </row>
    <row r="42" spans="1:54" ht="15" customHeight="1" x14ac:dyDescent="0.4">
      <c r="A42" s="5"/>
      <c r="B42" s="38"/>
      <c r="C42" s="2358" t="str">
        <f>IF('Data Analysis'!E260=1,'Data Analysis'!C260,0)</f>
        <v>Is the collective impact of fiscal commitments likely to be within acceptable levels and not have a significant adverse impact on government's future budgets or fiscal space?</v>
      </c>
      <c r="D42" s="2359"/>
      <c r="E42" s="2359"/>
      <c r="F42" s="2359"/>
      <c r="G42" s="2359"/>
      <c r="H42" s="2359"/>
      <c r="I42" s="2359"/>
      <c r="J42" s="2359"/>
      <c r="K42" s="2359"/>
      <c r="L42" s="2359"/>
      <c r="M42" s="2359"/>
      <c r="N42" s="2359"/>
      <c r="O42" s="2359"/>
      <c r="P42" s="2359"/>
      <c r="Q42" s="2359"/>
      <c r="R42" s="2359"/>
      <c r="S42" s="2359"/>
      <c r="T42" s="2359"/>
      <c r="U42" s="2359"/>
      <c r="V42" s="2359"/>
      <c r="W42" s="2359"/>
      <c r="X42" s="2359"/>
      <c r="Y42" s="2359"/>
      <c r="Z42" s="2359"/>
      <c r="AA42" s="2359"/>
      <c r="AB42" s="2354" t="str">
        <f>'V.Fiscal Affordability'!AB42:AC42</f>
        <v>Yes</v>
      </c>
      <c r="AC42" s="2355"/>
      <c r="AD42" s="38"/>
      <c r="AE42" s="5"/>
      <c r="AT42" s="247"/>
      <c r="AU42" s="247"/>
      <c r="AV42" s="247"/>
      <c r="AW42" s="247"/>
      <c r="AX42" s="247"/>
      <c r="AY42" s="247"/>
      <c r="AZ42" s="247"/>
      <c r="BA42" s="247"/>
      <c r="BB42" s="247"/>
    </row>
    <row r="43" spans="1:54" ht="15" customHeight="1" x14ac:dyDescent="0.4">
      <c r="A43" s="5"/>
      <c r="B43" s="38"/>
      <c r="C43" s="2358" t="str">
        <f>IF('Data Analysis'!E261=1,'Data Analysis'!C261,0)</f>
        <v>Are the life cycle costs for major components of the project - reasonable and affordable?</v>
      </c>
      <c r="D43" s="2359"/>
      <c r="E43" s="2359"/>
      <c r="F43" s="2359"/>
      <c r="G43" s="2359"/>
      <c r="H43" s="2359"/>
      <c r="I43" s="2359"/>
      <c r="J43" s="2359"/>
      <c r="K43" s="2359"/>
      <c r="L43" s="2359"/>
      <c r="M43" s="2359"/>
      <c r="N43" s="2359"/>
      <c r="O43" s="2359"/>
      <c r="P43" s="2359"/>
      <c r="Q43" s="2359"/>
      <c r="R43" s="2359"/>
      <c r="S43" s="2359"/>
      <c r="T43" s="2359"/>
      <c r="U43" s="2359"/>
      <c r="V43" s="2359"/>
      <c r="W43" s="2359"/>
      <c r="X43" s="2359"/>
      <c r="Y43" s="2359"/>
      <c r="Z43" s="2359"/>
      <c r="AA43" s="2359"/>
      <c r="AB43" s="2354" t="str">
        <f>'II.Preliminary Feasibility'!AB37:AC37</f>
        <v>Yes</v>
      </c>
      <c r="AC43" s="2355"/>
      <c r="AD43" s="38"/>
      <c r="AE43" s="5"/>
      <c r="AT43" s="247"/>
      <c r="AU43" s="247"/>
      <c r="AV43" s="247"/>
      <c r="AW43" s="247"/>
      <c r="AX43" s="247"/>
      <c r="AY43" s="247"/>
      <c r="AZ43" s="247"/>
      <c r="BA43" s="247"/>
      <c r="BB43" s="247"/>
    </row>
    <row r="44" spans="1:54" ht="15" customHeight="1" x14ac:dyDescent="0.4">
      <c r="A44" s="5"/>
      <c r="B44" s="38"/>
      <c r="C44" s="2358" t="str">
        <f>IF('Data Analysis'!E262=1,'Data Analysis'!C262,0)</f>
        <v>Will the project have any significant adverse impact on health or quality of life of users, workers and local population.</v>
      </c>
      <c r="D44" s="2359"/>
      <c r="E44" s="2359"/>
      <c r="F44" s="2359"/>
      <c r="G44" s="2359"/>
      <c r="H44" s="2359"/>
      <c r="I44" s="2359"/>
      <c r="J44" s="2359"/>
      <c r="K44" s="2359"/>
      <c r="L44" s="2359"/>
      <c r="M44" s="2359"/>
      <c r="N44" s="2359"/>
      <c r="O44" s="2359"/>
      <c r="P44" s="2359"/>
      <c r="Q44" s="2359"/>
      <c r="R44" s="2359"/>
      <c r="S44" s="2359"/>
      <c r="T44" s="2359"/>
      <c r="U44" s="2359"/>
      <c r="V44" s="2359"/>
      <c r="W44" s="2359"/>
      <c r="X44" s="2359"/>
      <c r="Y44" s="2359"/>
      <c r="Z44" s="2359"/>
      <c r="AA44" s="2359"/>
      <c r="AB44" s="2354" t="str">
        <f>'II.Preliminary Feasibility'!AB52:AC52</f>
        <v>No</v>
      </c>
      <c r="AC44" s="2355"/>
      <c r="AD44" s="38"/>
      <c r="AE44" s="5"/>
      <c r="AT44" s="247"/>
      <c r="AU44" s="247"/>
      <c r="AV44" s="247"/>
      <c r="AW44" s="247"/>
      <c r="AX44" s="247"/>
      <c r="AY44" s="247"/>
      <c r="AZ44" s="247"/>
      <c r="BA44" s="247"/>
      <c r="BB44" s="247"/>
    </row>
    <row r="45" spans="1:54" ht="15" customHeight="1" x14ac:dyDescent="0.4">
      <c r="A45" s="5"/>
      <c r="B45" s="38"/>
      <c r="C45" s="2358" t="str">
        <f>IF('Data Analysis'!E263=1,'Data Analysis'!C263,0)</f>
        <v>Is there a plan to address the legal barriers through appropriate executive action or legislative reforms?</v>
      </c>
      <c r="D45" s="2359"/>
      <c r="E45" s="2359"/>
      <c r="F45" s="2359"/>
      <c r="G45" s="2359"/>
      <c r="H45" s="2359"/>
      <c r="I45" s="2359"/>
      <c r="J45" s="2359"/>
      <c r="K45" s="2359"/>
      <c r="L45" s="2359"/>
      <c r="M45" s="2359"/>
      <c r="N45" s="2359"/>
      <c r="O45" s="2359"/>
      <c r="P45" s="2359"/>
      <c r="Q45" s="2359"/>
      <c r="R45" s="2359"/>
      <c r="S45" s="2359"/>
      <c r="T45" s="2359"/>
      <c r="U45" s="2359"/>
      <c r="V45" s="2359"/>
      <c r="W45" s="2359"/>
      <c r="X45" s="2359"/>
      <c r="Y45" s="2359"/>
      <c r="Z45" s="2359"/>
      <c r="AA45" s="2359"/>
      <c r="AB45" s="2354" t="str">
        <f>'II.Preliminary Feasibility'!AB80:AC80</f>
        <v>Yes</v>
      </c>
      <c r="AC45" s="2355"/>
      <c r="AD45" s="38"/>
      <c r="AE45" s="5"/>
      <c r="AT45" s="247"/>
      <c r="AU45" s="247"/>
      <c r="AV45" s="247"/>
      <c r="AW45" s="247"/>
      <c r="AX45" s="247"/>
      <c r="AY45" s="247"/>
      <c r="AZ45" s="247"/>
      <c r="BA45" s="247"/>
      <c r="BB45" s="247"/>
    </row>
    <row r="46" spans="1:54" ht="15" customHeight="1" thickBot="1" x14ac:dyDescent="0.45">
      <c r="A46" s="5"/>
      <c r="B46" s="38"/>
      <c r="C46" s="2360" t="str">
        <f>IF('Data Analysis'!E264=1,'Data Analysis'!C264,0)</f>
        <v>Are there financiers (nationally or regionally) who will be interested in the PPP?</v>
      </c>
      <c r="D46" s="2361"/>
      <c r="E46" s="2361"/>
      <c r="F46" s="2361"/>
      <c r="G46" s="2361"/>
      <c r="H46" s="2361"/>
      <c r="I46" s="2361"/>
      <c r="J46" s="2361"/>
      <c r="K46" s="2361"/>
      <c r="L46" s="2361"/>
      <c r="M46" s="2361"/>
      <c r="N46" s="2361"/>
      <c r="O46" s="2361"/>
      <c r="P46" s="2361"/>
      <c r="Q46" s="2361"/>
      <c r="R46" s="2361"/>
      <c r="S46" s="2361"/>
      <c r="T46" s="2361"/>
      <c r="U46" s="2361"/>
      <c r="V46" s="2361"/>
      <c r="W46" s="2361"/>
      <c r="X46" s="2361"/>
      <c r="Y46" s="2361"/>
      <c r="Z46" s="2361"/>
      <c r="AA46" s="2361"/>
      <c r="AB46" s="2356" t="str">
        <f>'III.Risk Assessment'!AB49</f>
        <v>Yes</v>
      </c>
      <c r="AC46" s="2357"/>
      <c r="AD46" s="38"/>
      <c r="AE46" s="5"/>
      <c r="AT46" s="247"/>
      <c r="AU46" s="247"/>
      <c r="AV46" s="247"/>
      <c r="AW46" s="247"/>
      <c r="AX46" s="247"/>
      <c r="AY46" s="247"/>
      <c r="AZ46" s="247"/>
      <c r="BA46" s="247"/>
      <c r="BB46" s="247"/>
    </row>
    <row r="47" spans="1:54" ht="15" customHeight="1" thickBot="1" x14ac:dyDescent="0.45">
      <c r="A47" s="5"/>
      <c r="B47" s="38"/>
      <c r="C47" s="38"/>
      <c r="D47" s="38"/>
      <c r="E47" s="38"/>
      <c r="F47" s="38"/>
      <c r="G47" s="38"/>
      <c r="H47" s="38"/>
      <c r="I47" s="38"/>
      <c r="J47" s="38"/>
      <c r="K47" s="38"/>
      <c r="L47" s="38"/>
      <c r="M47" s="38"/>
      <c r="N47" s="38"/>
      <c r="O47" s="245"/>
      <c r="P47" s="245"/>
      <c r="Q47" s="245"/>
      <c r="R47" s="245"/>
      <c r="S47" s="245"/>
      <c r="T47" s="245"/>
      <c r="U47" s="60"/>
      <c r="V47" s="60"/>
      <c r="W47" s="60"/>
      <c r="X47" s="60"/>
      <c r="Y47" s="60"/>
      <c r="Z47" s="60"/>
      <c r="AA47" s="60"/>
      <c r="AB47" s="60"/>
      <c r="AC47" s="60"/>
      <c r="AD47" s="38"/>
      <c r="AE47" s="5"/>
      <c r="AT47" s="247"/>
      <c r="AU47" s="247"/>
      <c r="AV47" s="247"/>
      <c r="AW47" s="247"/>
      <c r="AX47" s="247"/>
      <c r="AY47" s="247"/>
      <c r="AZ47" s="247"/>
      <c r="BA47" s="247"/>
      <c r="BB47" s="247"/>
    </row>
    <row r="48" spans="1:54" ht="21.6" thickBot="1" x14ac:dyDescent="0.45">
      <c r="A48" s="5"/>
      <c r="B48" s="245"/>
      <c r="C48" s="2410" t="s">
        <v>277</v>
      </c>
      <c r="D48" s="2411"/>
      <c r="E48" s="2411"/>
      <c r="F48" s="2411"/>
      <c r="G48" s="2411"/>
      <c r="H48" s="2411"/>
      <c r="I48" s="2411"/>
      <c r="J48" s="2411"/>
      <c r="K48" s="2411"/>
      <c r="L48" s="2411"/>
      <c r="M48" s="2411"/>
      <c r="N48" s="2412"/>
      <c r="O48" s="285"/>
      <c r="P48" s="2410" t="s">
        <v>278</v>
      </c>
      <c r="Q48" s="2411"/>
      <c r="R48" s="2411"/>
      <c r="S48" s="2411"/>
      <c r="T48" s="2411"/>
      <c r="U48" s="2411"/>
      <c r="V48" s="2411"/>
      <c r="W48" s="2411"/>
      <c r="X48" s="2411"/>
      <c r="Y48" s="2411"/>
      <c r="Z48" s="2411"/>
      <c r="AA48" s="2411"/>
      <c r="AB48" s="2411"/>
      <c r="AC48" s="2412"/>
      <c r="AD48" s="38"/>
      <c r="AE48" s="5"/>
    </row>
    <row r="49" spans="1:57" ht="11.25" hidden="1" customHeight="1" thickBot="1" x14ac:dyDescent="0.35">
      <c r="A49" s="5"/>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38"/>
      <c r="AE49" s="5"/>
      <c r="AT49" s="2363"/>
      <c r="AU49" s="2363"/>
      <c r="AV49" s="2363"/>
      <c r="AW49" s="2363"/>
      <c r="AX49" s="2363"/>
      <c r="AY49" s="2363"/>
      <c r="AZ49" s="2363"/>
      <c r="BA49" s="2363"/>
      <c r="BB49" s="2363"/>
      <c r="BC49" s="2363"/>
      <c r="BD49" s="2363"/>
      <c r="BE49" s="2363"/>
    </row>
    <row r="50" spans="1:57" ht="21" x14ac:dyDescent="0.4">
      <c r="A50" s="5">
        <v>0</v>
      </c>
      <c r="B50" s="38"/>
      <c r="C50" s="1663" t="s">
        <v>276</v>
      </c>
      <c r="D50" s="1661"/>
      <c r="E50" s="1661"/>
      <c r="F50" s="1661"/>
      <c r="G50" s="1661"/>
      <c r="H50" s="1661"/>
      <c r="I50" s="320"/>
      <c r="J50" s="320"/>
      <c r="K50" s="320"/>
      <c r="L50" s="320"/>
      <c r="M50" s="346" t="s">
        <v>279</v>
      </c>
      <c r="N50" s="347">
        <f>Admin!F4</f>
        <v>0.1</v>
      </c>
      <c r="O50" s="282"/>
      <c r="P50" s="348" t="s">
        <v>115</v>
      </c>
      <c r="Q50" s="320"/>
      <c r="R50" s="320"/>
      <c r="S50" s="320"/>
      <c r="T50" s="331"/>
      <c r="U50" s="331"/>
      <c r="V50" s="331"/>
      <c r="W50" s="349" t="s">
        <v>653</v>
      </c>
      <c r="X50" s="332"/>
      <c r="Y50" s="332"/>
      <c r="Z50" s="332"/>
      <c r="AA50" s="332"/>
      <c r="AB50" s="332"/>
      <c r="AC50" s="333"/>
      <c r="AD50" s="38"/>
      <c r="AE50" s="5"/>
      <c r="AT50" s="247"/>
      <c r="AU50" s="247"/>
      <c r="AV50" s="247"/>
      <c r="AW50" s="247"/>
      <c r="AX50" s="247"/>
      <c r="AY50" s="247"/>
      <c r="AZ50" s="247"/>
      <c r="BA50" s="247"/>
      <c r="BB50" s="247"/>
    </row>
    <row r="51" spans="1:57" ht="21" hidden="1" x14ac:dyDescent="0.4">
      <c r="A51" s="5"/>
      <c r="B51" s="38"/>
      <c r="C51" s="321">
        <v>0.5</v>
      </c>
      <c r="D51" s="322">
        <f>C51+0.5</f>
        <v>1</v>
      </c>
      <c r="E51" s="322">
        <f t="shared" ref="E51:M51" si="0">D51+0.5</f>
        <v>1.5</v>
      </c>
      <c r="F51" s="322">
        <f t="shared" si="0"/>
        <v>2</v>
      </c>
      <c r="G51" s="322">
        <f t="shared" si="0"/>
        <v>2.5</v>
      </c>
      <c r="H51" s="322">
        <f t="shared" si="0"/>
        <v>3</v>
      </c>
      <c r="I51" s="322">
        <f t="shared" si="0"/>
        <v>3.5</v>
      </c>
      <c r="J51" s="322">
        <f t="shared" si="0"/>
        <v>4</v>
      </c>
      <c r="K51" s="323">
        <f t="shared" si="0"/>
        <v>4.5</v>
      </c>
      <c r="L51" s="322">
        <f t="shared" si="0"/>
        <v>5</v>
      </c>
      <c r="M51" s="277">
        <f t="shared" si="0"/>
        <v>5.5</v>
      </c>
      <c r="N51" s="277"/>
      <c r="O51" s="277"/>
      <c r="P51" s="334"/>
      <c r="Q51" s="335"/>
      <c r="R51" s="335"/>
      <c r="S51" s="335"/>
      <c r="T51" s="336"/>
      <c r="U51" s="336"/>
      <c r="V51" s="337"/>
      <c r="W51" s="338"/>
      <c r="X51" s="338"/>
      <c r="Y51" s="338"/>
      <c r="Z51" s="338"/>
      <c r="AA51" s="338"/>
      <c r="AB51" s="338"/>
      <c r="AC51" s="339"/>
      <c r="AD51" s="38"/>
      <c r="AE51" s="5"/>
      <c r="AT51" s="247"/>
      <c r="AU51" s="247"/>
      <c r="AV51" s="247"/>
      <c r="AW51" s="247"/>
      <c r="AX51" s="247"/>
      <c r="AY51" s="247"/>
      <c r="AZ51" s="247"/>
      <c r="BA51" s="247"/>
      <c r="BB51" s="247"/>
    </row>
    <row r="52" spans="1:57" ht="18.75" customHeight="1" x14ac:dyDescent="0.35">
      <c r="A52" s="5"/>
      <c r="B52" s="36"/>
      <c r="C52" s="1113" t="str">
        <f>IF($K$55&lt;=C$51,"↓","")</f>
        <v/>
      </c>
      <c r="D52" s="1114" t="str">
        <f>IF(AND($K$55&lt;=D51,$K$55&gt;C51),"↓","")</f>
        <v/>
      </c>
      <c r="E52" s="1114" t="str">
        <f t="shared" ref="E52:L52" si="1">IF(AND($K$55&lt;=E51,$K$55&gt;D51),"↓","")</f>
        <v/>
      </c>
      <c r="F52" s="1114" t="str">
        <f t="shared" si="1"/>
        <v/>
      </c>
      <c r="G52" s="1114" t="str">
        <f t="shared" si="1"/>
        <v/>
      </c>
      <c r="H52" s="1114" t="str">
        <f t="shared" si="1"/>
        <v/>
      </c>
      <c r="I52" s="1114" t="str">
        <f t="shared" si="1"/>
        <v/>
      </c>
      <c r="J52" s="1114" t="str">
        <f t="shared" si="1"/>
        <v/>
      </c>
      <c r="K52" s="1114" t="str">
        <f t="shared" si="1"/>
        <v/>
      </c>
      <c r="L52" s="1148" t="str">
        <f t="shared" si="1"/>
        <v>↓</v>
      </c>
      <c r="M52" s="63" t="str">
        <f t="shared" ref="M52" si="2">IF(AND($K$55&gt;=M51,$K$55&lt;N51),"↓","")</f>
        <v/>
      </c>
      <c r="N52" s="243"/>
      <c r="O52" s="1627">
        <f>'Data Analysis'!O267</f>
        <v>0</v>
      </c>
      <c r="P52" s="2348" t="str">
        <f>Comments!J4</f>
        <v>The project is an excellent fit with strategic suitability. It strongly aligns with government priorities. The project has been scoped out based on clear articulation of service needs and after examining various service delivery options.</v>
      </c>
      <c r="Q52" s="2349"/>
      <c r="R52" s="2349"/>
      <c r="S52" s="2349"/>
      <c r="T52" s="2349"/>
      <c r="U52" s="2349"/>
      <c r="V52" s="2350"/>
      <c r="W52" s="2348" t="str">
        <f>TRIM(Comments!U54)</f>
        <v>.</v>
      </c>
      <c r="X52" s="2349"/>
      <c r="Y52" s="2349"/>
      <c r="Z52" s="2349"/>
      <c r="AA52" s="2349"/>
      <c r="AB52" s="2349"/>
      <c r="AC52" s="2372"/>
      <c r="AD52" s="38"/>
      <c r="AE52" s="5"/>
    </row>
    <row r="53" spans="1:57" ht="15.6" x14ac:dyDescent="0.3">
      <c r="A53" s="5"/>
      <c r="B53" s="245"/>
      <c r="C53" s="325"/>
      <c r="D53" s="326"/>
      <c r="E53" s="326"/>
      <c r="F53" s="326"/>
      <c r="G53" s="326"/>
      <c r="H53" s="326"/>
      <c r="I53" s="326"/>
      <c r="J53" s="326"/>
      <c r="K53" s="326"/>
      <c r="L53" s="326"/>
      <c r="M53" s="243"/>
      <c r="N53" s="391"/>
      <c r="O53" s="269">
        <f>'Data Analysis'!AG277</f>
        <v>0</v>
      </c>
      <c r="P53" s="2348"/>
      <c r="Q53" s="2349"/>
      <c r="R53" s="2349"/>
      <c r="S53" s="2349"/>
      <c r="T53" s="2349"/>
      <c r="U53" s="2349"/>
      <c r="V53" s="2350"/>
      <c r="W53" s="2348"/>
      <c r="X53" s="2349"/>
      <c r="Y53" s="2349"/>
      <c r="Z53" s="2349"/>
      <c r="AA53" s="2349"/>
      <c r="AB53" s="2349"/>
      <c r="AC53" s="2372"/>
      <c r="AD53" s="38"/>
      <c r="AE53" s="5"/>
      <c r="AT53" s="2363"/>
      <c r="AU53" s="2363"/>
      <c r="AV53" s="2363"/>
      <c r="AW53" s="2363"/>
      <c r="AX53" s="2363"/>
      <c r="AY53" s="2363"/>
      <c r="AZ53" s="2363"/>
      <c r="BA53" s="2363"/>
      <c r="BB53" s="2363"/>
      <c r="BC53" s="2363"/>
      <c r="BD53" s="2363"/>
      <c r="BE53" s="2363"/>
    </row>
    <row r="54" spans="1:57" ht="15.6" x14ac:dyDescent="0.3">
      <c r="A54" s="5"/>
      <c r="B54" s="245"/>
      <c r="C54" s="325"/>
      <c r="D54" s="326"/>
      <c r="E54" s="326"/>
      <c r="F54" s="326"/>
      <c r="G54" s="326"/>
      <c r="H54" s="326"/>
      <c r="I54" s="326"/>
      <c r="J54" s="326"/>
      <c r="K54" s="326"/>
      <c r="L54" s="326"/>
      <c r="M54" s="243"/>
      <c r="N54" s="391"/>
      <c r="O54" s="295">
        <f>'Data Analysis'!AG279</f>
        <v>0</v>
      </c>
      <c r="P54" s="2348"/>
      <c r="Q54" s="2349"/>
      <c r="R54" s="2349"/>
      <c r="S54" s="2349"/>
      <c r="T54" s="2349"/>
      <c r="U54" s="2349"/>
      <c r="V54" s="2350"/>
      <c r="W54" s="2348"/>
      <c r="X54" s="2349"/>
      <c r="Y54" s="2349"/>
      <c r="Z54" s="2349"/>
      <c r="AA54" s="2349"/>
      <c r="AB54" s="2349"/>
      <c r="AC54" s="2372"/>
      <c r="AD54" s="245"/>
      <c r="AE54" s="5"/>
      <c r="AT54" s="281"/>
      <c r="AU54" s="281"/>
      <c r="AV54" s="281"/>
      <c r="AW54" s="281"/>
      <c r="AX54" s="281"/>
      <c r="AY54" s="281"/>
      <c r="AZ54" s="281"/>
      <c r="BA54" s="281"/>
      <c r="BB54" s="281"/>
      <c r="BC54" s="281"/>
      <c r="BD54" s="281"/>
      <c r="BE54" s="281"/>
    </row>
    <row r="55" spans="1:57" ht="15.6" x14ac:dyDescent="0.3">
      <c r="A55" s="5"/>
      <c r="B55" s="245"/>
      <c r="C55" s="2385" t="str">
        <f>'Data Analysis'!F295</f>
        <v>Very Strong</v>
      </c>
      <c r="D55" s="2386"/>
      <c r="E55" s="2386"/>
      <c r="F55" s="2386"/>
      <c r="G55" s="2386"/>
      <c r="H55" s="2386"/>
      <c r="I55" s="2386"/>
      <c r="J55" s="324"/>
      <c r="K55" s="2413">
        <f>'Data Analysis'!E295</f>
        <v>5</v>
      </c>
      <c r="L55" s="2386"/>
      <c r="M55" s="243"/>
      <c r="N55" s="391"/>
      <c r="O55" s="270"/>
      <c r="P55" s="2348"/>
      <c r="Q55" s="2349"/>
      <c r="R55" s="2349"/>
      <c r="S55" s="2349"/>
      <c r="T55" s="2349"/>
      <c r="U55" s="2349"/>
      <c r="V55" s="2350"/>
      <c r="W55" s="2348"/>
      <c r="X55" s="2349"/>
      <c r="Y55" s="2349"/>
      <c r="Z55" s="2349"/>
      <c r="AA55" s="2349"/>
      <c r="AB55" s="2349"/>
      <c r="AC55" s="2372"/>
      <c r="AD55" s="245"/>
      <c r="AE55" s="5"/>
      <c r="AT55" s="281"/>
      <c r="AU55" s="281"/>
      <c r="AV55" s="281"/>
      <c r="AW55" s="281"/>
      <c r="AX55" s="281"/>
      <c r="AY55" s="281"/>
      <c r="AZ55" s="281"/>
      <c r="BA55" s="281"/>
      <c r="BB55" s="281"/>
      <c r="BC55" s="281"/>
      <c r="BD55" s="281"/>
      <c r="BE55" s="281"/>
    </row>
    <row r="56" spans="1:57" ht="21.6" thickBot="1" x14ac:dyDescent="0.45">
      <c r="A56" s="286">
        <f>K55</f>
        <v>5</v>
      </c>
      <c r="B56" s="245"/>
      <c r="C56" s="327"/>
      <c r="D56" s="328"/>
      <c r="E56" s="328"/>
      <c r="F56" s="328"/>
      <c r="G56" s="328"/>
      <c r="H56" s="328"/>
      <c r="I56" s="328"/>
      <c r="J56" s="328"/>
      <c r="K56" s="328"/>
      <c r="L56" s="328"/>
      <c r="M56" s="244"/>
      <c r="N56" s="244"/>
      <c r="O56" s="340"/>
      <c r="P56" s="2351"/>
      <c r="Q56" s="2352"/>
      <c r="R56" s="2352"/>
      <c r="S56" s="2352"/>
      <c r="T56" s="2352"/>
      <c r="U56" s="2352"/>
      <c r="V56" s="2353"/>
      <c r="W56" s="2351"/>
      <c r="X56" s="2352"/>
      <c r="Y56" s="2352"/>
      <c r="Z56" s="2352"/>
      <c r="AA56" s="2352"/>
      <c r="AB56" s="2352"/>
      <c r="AC56" s="2373"/>
      <c r="AD56" s="245"/>
      <c r="AE56" s="5"/>
      <c r="AT56" s="247"/>
      <c r="AU56" s="247"/>
      <c r="AV56" s="247"/>
      <c r="AW56" s="247"/>
      <c r="AX56" s="247"/>
      <c r="AY56" s="247"/>
      <c r="AZ56" s="247"/>
      <c r="BA56" s="247"/>
      <c r="BB56" s="247"/>
    </row>
    <row r="57" spans="1:57" ht="14.25" customHeight="1" thickBot="1" x14ac:dyDescent="0.35">
      <c r="A57" s="5"/>
      <c r="B57" s="245"/>
      <c r="C57" s="329"/>
      <c r="D57" s="329"/>
      <c r="E57" s="329"/>
      <c r="F57" s="329"/>
      <c r="G57" s="329"/>
      <c r="H57" s="329"/>
      <c r="I57" s="329"/>
      <c r="J57" s="329"/>
      <c r="K57" s="329"/>
      <c r="L57" s="329"/>
      <c r="M57" s="245"/>
      <c r="N57" s="245"/>
      <c r="O57" s="341"/>
      <c r="P57" s="329"/>
      <c r="Q57" s="329"/>
      <c r="R57" s="329"/>
      <c r="S57" s="329"/>
      <c r="T57" s="329"/>
      <c r="U57" s="329"/>
      <c r="V57" s="329"/>
      <c r="W57" s="343"/>
      <c r="X57" s="343"/>
      <c r="Y57" s="343"/>
      <c r="Z57" s="343"/>
      <c r="AA57" s="343"/>
      <c r="AB57" s="343"/>
      <c r="AC57" s="343"/>
      <c r="AD57" s="245"/>
      <c r="AE57" s="5"/>
    </row>
    <row r="58" spans="1:57" ht="21" customHeight="1" x14ac:dyDescent="0.3">
      <c r="A58" s="5"/>
      <c r="B58" s="245"/>
      <c r="C58" s="344" t="s">
        <v>248</v>
      </c>
      <c r="D58" s="1664"/>
      <c r="E58" s="1664"/>
      <c r="F58" s="1664"/>
      <c r="G58" s="1664"/>
      <c r="H58" s="1664"/>
      <c r="I58" s="1664"/>
      <c r="J58" s="350"/>
      <c r="K58" s="350"/>
      <c r="L58" s="350"/>
      <c r="M58" s="345" t="s">
        <v>279</v>
      </c>
      <c r="N58" s="372">
        <f>Admin!F9</f>
        <v>0.3</v>
      </c>
      <c r="O58" s="352"/>
      <c r="P58" s="353" t="s">
        <v>115</v>
      </c>
      <c r="Q58" s="354"/>
      <c r="R58" s="354"/>
      <c r="S58" s="354"/>
      <c r="T58" s="354"/>
      <c r="U58" s="354"/>
      <c r="V58" s="354"/>
      <c r="W58" s="351" t="str">
        <f>W50</f>
        <v>Identified areas to address</v>
      </c>
      <c r="X58" s="355"/>
      <c r="Y58" s="355"/>
      <c r="Z58" s="355"/>
      <c r="AA58" s="355"/>
      <c r="AB58" s="355"/>
      <c r="AC58" s="356"/>
      <c r="AD58" s="245"/>
      <c r="AE58" s="5"/>
    </row>
    <row r="59" spans="1:57" ht="20.100000000000001" customHeight="1" x14ac:dyDescent="0.35">
      <c r="A59" s="286">
        <f ca="1">'Data Analysis'!D199</f>
        <v>5</v>
      </c>
      <c r="B59" s="245"/>
      <c r="C59" s="1113" t="str">
        <f ca="1">IF($K$62&lt;=C$51,"↓","")</f>
        <v/>
      </c>
      <c r="D59" s="1114" t="str">
        <f ca="1">IF(AND($K$62&lt;=D51,$K$62&gt;C51),"↓","")</f>
        <v/>
      </c>
      <c r="E59" s="1114" t="str">
        <f t="shared" ref="E59:L59" ca="1" si="3">IF(AND($K$62&lt;=E51,$K$62&gt;D51),"↓","")</f>
        <v/>
      </c>
      <c r="F59" s="1114" t="str">
        <f t="shared" ca="1" si="3"/>
        <v/>
      </c>
      <c r="G59" s="1114" t="str">
        <f t="shared" ca="1" si="3"/>
        <v/>
      </c>
      <c r="H59" s="1114" t="str">
        <f t="shared" ca="1" si="3"/>
        <v/>
      </c>
      <c r="I59" s="1114" t="str">
        <f t="shared" ca="1" si="3"/>
        <v/>
      </c>
      <c r="J59" s="1114" t="str">
        <f t="shared" ca="1" si="3"/>
        <v/>
      </c>
      <c r="K59" s="1114" t="str">
        <f t="shared" ca="1" si="3"/>
        <v/>
      </c>
      <c r="L59" s="1114" t="str">
        <f t="shared" ca="1" si="3"/>
        <v>↓</v>
      </c>
      <c r="M59" s="63"/>
      <c r="N59" s="243"/>
      <c r="O59" s="1846">
        <f>'Data Analysis'!P267</f>
        <v>0</v>
      </c>
      <c r="P59" s="2348" t="str">
        <f ca="1">IF(AND('Data Analysis'!F337=0,'Data Analysis'!F338=1,'Data Analysis'!F340=1),Comments!J11,Comments!J10)</f>
        <v xml:space="preserve">The preliminary feasibility analysis indicates the project is extremely likely to be feasible on an overall basis and therefore strongly suitable to be taken forward. 
</v>
      </c>
      <c r="Q59" s="2349"/>
      <c r="R59" s="2349"/>
      <c r="S59" s="2349"/>
      <c r="T59" s="2349"/>
      <c r="U59" s="2349"/>
      <c r="V59" s="2350"/>
      <c r="W59" s="2366" t="str">
        <f ca="1">Comments!U59</f>
        <v xml:space="preserve">               .</v>
      </c>
      <c r="X59" s="2367"/>
      <c r="Y59" s="2367"/>
      <c r="Z59" s="2367"/>
      <c r="AA59" s="2367"/>
      <c r="AB59" s="2367"/>
      <c r="AC59" s="2368"/>
      <c r="AD59" s="245"/>
      <c r="AE59" s="5"/>
    </row>
    <row r="60" spans="1:57" ht="20.100000000000001" customHeight="1" x14ac:dyDescent="0.3">
      <c r="A60" s="286"/>
      <c r="B60" s="245"/>
      <c r="C60" s="325"/>
      <c r="D60" s="326"/>
      <c r="E60" s="326"/>
      <c r="F60" s="326"/>
      <c r="G60" s="326"/>
      <c r="H60" s="326"/>
      <c r="I60" s="326"/>
      <c r="J60" s="326"/>
      <c r="K60" s="326"/>
      <c r="L60" s="326"/>
      <c r="M60" s="243"/>
      <c r="N60" s="243"/>
      <c r="O60" s="269">
        <f ca="1">'Data Analysis'!AG302</f>
        <v>0</v>
      </c>
      <c r="P60" s="2348"/>
      <c r="Q60" s="2349"/>
      <c r="R60" s="2349"/>
      <c r="S60" s="2349"/>
      <c r="T60" s="2349"/>
      <c r="U60" s="2349"/>
      <c r="V60" s="2350"/>
      <c r="W60" s="2366"/>
      <c r="X60" s="2367"/>
      <c r="Y60" s="2367"/>
      <c r="Z60" s="2367"/>
      <c r="AA60" s="2367"/>
      <c r="AB60" s="2367"/>
      <c r="AC60" s="2368"/>
      <c r="AD60" s="245"/>
      <c r="AE60" s="5"/>
    </row>
    <row r="61" spans="1:57" ht="20.100000000000001" customHeight="1" x14ac:dyDescent="0.3">
      <c r="A61" s="286"/>
      <c r="B61" s="245"/>
      <c r="C61" s="325"/>
      <c r="D61" s="326"/>
      <c r="E61" s="326"/>
      <c r="F61" s="326"/>
      <c r="G61" s="326"/>
      <c r="H61" s="326"/>
      <c r="I61" s="326"/>
      <c r="J61" s="326"/>
      <c r="K61" s="326"/>
      <c r="L61" s="326"/>
      <c r="M61" s="243"/>
      <c r="N61" s="243"/>
      <c r="O61" s="269">
        <f ca="1">'Data Analysis'!AG304</f>
        <v>0</v>
      </c>
      <c r="P61" s="2348"/>
      <c r="Q61" s="2349"/>
      <c r="R61" s="2349"/>
      <c r="S61" s="2349"/>
      <c r="T61" s="2349"/>
      <c r="U61" s="2349"/>
      <c r="V61" s="2350"/>
      <c r="W61" s="2366"/>
      <c r="X61" s="2367"/>
      <c r="Y61" s="2367"/>
      <c r="Z61" s="2367"/>
      <c r="AA61" s="2367"/>
      <c r="AB61" s="2367"/>
      <c r="AC61" s="2368"/>
      <c r="AD61" s="245"/>
      <c r="AE61" s="5"/>
    </row>
    <row r="62" spans="1:57" ht="20.100000000000001" customHeight="1" x14ac:dyDescent="0.3">
      <c r="A62" s="286"/>
      <c r="B62" s="245"/>
      <c r="C62" s="2385" t="str">
        <f ca="1">'Data Analysis'!F350</f>
        <v>Very Strong</v>
      </c>
      <c r="D62" s="2386"/>
      <c r="E62" s="2386"/>
      <c r="F62" s="2386"/>
      <c r="G62" s="2386"/>
      <c r="H62" s="2386"/>
      <c r="I62" s="2386"/>
      <c r="J62" s="326"/>
      <c r="K62" s="2413">
        <f ca="1">'Data Analysis'!E350</f>
        <v>5</v>
      </c>
      <c r="L62" s="2386"/>
      <c r="M62" s="243"/>
      <c r="N62" s="283"/>
      <c r="O62" s="270"/>
      <c r="P62" s="2348"/>
      <c r="Q62" s="2349"/>
      <c r="R62" s="2349"/>
      <c r="S62" s="2349"/>
      <c r="T62" s="2349"/>
      <c r="U62" s="2349"/>
      <c r="V62" s="2350"/>
      <c r="W62" s="2366"/>
      <c r="X62" s="2367"/>
      <c r="Y62" s="2367"/>
      <c r="Z62" s="2367"/>
      <c r="AA62" s="2367"/>
      <c r="AB62" s="2367"/>
      <c r="AC62" s="2368"/>
      <c r="AD62" s="245"/>
      <c r="AE62" s="5"/>
    </row>
    <row r="63" spans="1:57" ht="20.100000000000001" customHeight="1" thickBot="1" x14ac:dyDescent="0.35">
      <c r="A63" s="286"/>
      <c r="B63" s="245"/>
      <c r="C63" s="327"/>
      <c r="D63" s="328"/>
      <c r="E63" s="328"/>
      <c r="F63" s="328"/>
      <c r="G63" s="328"/>
      <c r="H63" s="328"/>
      <c r="I63" s="328"/>
      <c r="J63" s="328"/>
      <c r="K63" s="328"/>
      <c r="L63" s="328"/>
      <c r="M63" s="244"/>
      <c r="N63" s="244"/>
      <c r="O63" s="342"/>
      <c r="P63" s="2351"/>
      <c r="Q63" s="2352"/>
      <c r="R63" s="2352"/>
      <c r="S63" s="2352"/>
      <c r="T63" s="2352"/>
      <c r="U63" s="2352"/>
      <c r="V63" s="2353"/>
      <c r="W63" s="2369"/>
      <c r="X63" s="2370"/>
      <c r="Y63" s="2370"/>
      <c r="Z63" s="2370"/>
      <c r="AA63" s="2370"/>
      <c r="AB63" s="2370"/>
      <c r="AC63" s="2371"/>
      <c r="AD63" s="245"/>
      <c r="AE63" s="5"/>
      <c r="AP63" s="2364"/>
      <c r="AQ63" s="2364"/>
      <c r="AR63" s="2364"/>
      <c r="AS63" s="2364"/>
      <c r="AT63" s="2364"/>
      <c r="AU63" s="2364"/>
    </row>
    <row r="64" spans="1:57" ht="14.25" customHeight="1" thickBot="1" x14ac:dyDescent="0.35">
      <c r="A64" s="286"/>
      <c r="B64" s="245"/>
      <c r="C64" s="329"/>
      <c r="D64" s="329"/>
      <c r="E64" s="329"/>
      <c r="F64" s="329"/>
      <c r="G64" s="329"/>
      <c r="H64" s="329"/>
      <c r="I64" s="329"/>
      <c r="J64" s="329"/>
      <c r="K64" s="329"/>
      <c r="L64" s="329"/>
      <c r="M64" s="245"/>
      <c r="N64" s="245"/>
      <c r="O64" s="341"/>
      <c r="P64" s="329"/>
      <c r="Q64" s="329"/>
      <c r="R64" s="329"/>
      <c r="S64" s="329"/>
      <c r="T64" s="329"/>
      <c r="U64" s="329"/>
      <c r="V64" s="329"/>
      <c r="W64" s="343"/>
      <c r="X64" s="343"/>
      <c r="Y64" s="343"/>
      <c r="Z64" s="343"/>
      <c r="AA64" s="343"/>
      <c r="AB64" s="343"/>
      <c r="AC64" s="343"/>
      <c r="AD64" s="245"/>
      <c r="AE64" s="5"/>
      <c r="AP64" s="2364"/>
      <c r="AQ64" s="2364"/>
      <c r="AR64" s="2364"/>
      <c r="AS64" s="2364"/>
      <c r="AT64" s="2364"/>
      <c r="AU64" s="2364"/>
    </row>
    <row r="65" spans="1:47" ht="20.100000000000001" customHeight="1" x14ac:dyDescent="0.35">
      <c r="A65" s="286"/>
      <c r="B65" s="245"/>
      <c r="C65" s="1666" t="s">
        <v>103</v>
      </c>
      <c r="D65" s="1665"/>
      <c r="E65" s="1665"/>
      <c r="F65" s="1665"/>
      <c r="G65" s="1665"/>
      <c r="H65" s="357"/>
      <c r="I65" s="357"/>
      <c r="J65" s="357"/>
      <c r="K65" s="357"/>
      <c r="L65" s="357"/>
      <c r="M65" s="361" t="s">
        <v>279</v>
      </c>
      <c r="N65" s="373">
        <f>Admin!F16</f>
        <v>0.2</v>
      </c>
      <c r="O65" s="358"/>
      <c r="P65" s="362" t="s">
        <v>115</v>
      </c>
      <c r="Q65" s="357"/>
      <c r="R65" s="357"/>
      <c r="S65" s="357"/>
      <c r="T65" s="357"/>
      <c r="U65" s="357"/>
      <c r="V65" s="357"/>
      <c r="W65" s="363" t="str">
        <f>W50</f>
        <v>Identified areas to address</v>
      </c>
      <c r="X65" s="359"/>
      <c r="Y65" s="359"/>
      <c r="Z65" s="359"/>
      <c r="AA65" s="359"/>
      <c r="AB65" s="359"/>
      <c r="AC65" s="360"/>
      <c r="AD65" s="245"/>
      <c r="AE65" s="5"/>
      <c r="AP65" s="2365"/>
      <c r="AQ65" s="2365"/>
      <c r="AR65" s="2365"/>
      <c r="AS65" s="2365"/>
      <c r="AT65" s="2365"/>
      <c r="AU65" s="2365"/>
    </row>
    <row r="66" spans="1:47" ht="20.100000000000001" customHeight="1" x14ac:dyDescent="0.35">
      <c r="A66" s="5"/>
      <c r="B66" s="245"/>
      <c r="C66" s="1147" t="str">
        <f>IF($K$69&lt;=C$51,"↓","")</f>
        <v/>
      </c>
      <c r="D66" s="1148" t="str">
        <f>IF(AND($K$69&gt;C51,$K$69&lt;=D51),"↓","")</f>
        <v/>
      </c>
      <c r="E66" s="1148" t="str">
        <f t="shared" ref="E66:L66" si="4">IF(AND($K$69&gt;D51,$K$69&lt;=E51),"↓","")</f>
        <v/>
      </c>
      <c r="F66" s="1148" t="str">
        <f t="shared" si="4"/>
        <v/>
      </c>
      <c r="G66" s="1148" t="str">
        <f t="shared" si="4"/>
        <v/>
      </c>
      <c r="H66" s="1148" t="str">
        <f t="shared" si="4"/>
        <v/>
      </c>
      <c r="I66" s="1148" t="str">
        <f t="shared" si="4"/>
        <v/>
      </c>
      <c r="J66" s="1148" t="str">
        <f t="shared" si="4"/>
        <v/>
      </c>
      <c r="K66" s="1148" t="str">
        <f t="shared" si="4"/>
        <v/>
      </c>
      <c r="L66" s="1148" t="str">
        <f t="shared" si="4"/>
        <v>↓</v>
      </c>
      <c r="M66" s="63" t="str">
        <f t="shared" ref="M66" si="5">IF(AND($K$69&gt;=M51,$K$69&lt;N51),"↓","")</f>
        <v/>
      </c>
      <c r="N66" s="243"/>
      <c r="O66" s="1846">
        <f>'Data Analysis'!Q267</f>
        <v>0</v>
      </c>
      <c r="P66" s="2348" t="str">
        <f>Comments!J19</f>
        <v>The project has an excellent risk profile in terms of overall risk allocation and mitigation. Key risks have been identified and equitably shared to reduce the overall risk profile. There is a high degree of certainty that the proposed risk sharing will generate substantial private sector interest.</v>
      </c>
      <c r="Q66" s="2349"/>
      <c r="R66" s="2349"/>
      <c r="S66" s="2349"/>
      <c r="T66" s="2349"/>
      <c r="U66" s="2349"/>
      <c r="V66" s="2350"/>
      <c r="W66" s="2348" t="str">
        <f>Comments!U66</f>
        <v xml:space="preserve">                     .</v>
      </c>
      <c r="X66" s="2349"/>
      <c r="Y66" s="2349"/>
      <c r="Z66" s="2349"/>
      <c r="AA66" s="2349"/>
      <c r="AB66" s="2349"/>
      <c r="AC66" s="2372"/>
      <c r="AD66" s="245"/>
      <c r="AE66" s="5"/>
      <c r="AP66" s="2365"/>
      <c r="AQ66" s="2365"/>
      <c r="AR66" s="2365"/>
      <c r="AS66" s="2365"/>
      <c r="AT66" s="2365"/>
      <c r="AU66" s="2365"/>
    </row>
    <row r="67" spans="1:47" ht="20.100000000000001" customHeight="1" x14ac:dyDescent="0.3">
      <c r="A67" s="5"/>
      <c r="B67" s="245"/>
      <c r="C67" s="325"/>
      <c r="D67" s="326"/>
      <c r="E67" s="326"/>
      <c r="F67" s="326"/>
      <c r="G67" s="326"/>
      <c r="H67" s="326"/>
      <c r="I67" s="326"/>
      <c r="J67" s="326"/>
      <c r="K67" s="326"/>
      <c r="L67" s="326"/>
      <c r="M67" s="243"/>
      <c r="N67" s="243"/>
      <c r="O67" s="269">
        <f>'Data Analysis'!AG357</f>
        <v>0</v>
      </c>
      <c r="P67" s="2348"/>
      <c r="Q67" s="2349"/>
      <c r="R67" s="2349"/>
      <c r="S67" s="2349"/>
      <c r="T67" s="2349"/>
      <c r="U67" s="2349"/>
      <c r="V67" s="2350"/>
      <c r="W67" s="2348"/>
      <c r="X67" s="2349"/>
      <c r="Y67" s="2349"/>
      <c r="Z67" s="2349"/>
      <c r="AA67" s="2349"/>
      <c r="AB67" s="2349"/>
      <c r="AC67" s="2372"/>
      <c r="AD67" s="245"/>
      <c r="AE67" s="5"/>
      <c r="AP67" s="2365"/>
      <c r="AQ67" s="2365"/>
      <c r="AR67" s="2365"/>
      <c r="AS67" s="2365"/>
      <c r="AT67" s="2365"/>
      <c r="AU67" s="2365"/>
    </row>
    <row r="68" spans="1:47" ht="20.100000000000001" customHeight="1" x14ac:dyDescent="0.3">
      <c r="A68" s="5"/>
      <c r="B68" s="245"/>
      <c r="C68" s="325"/>
      <c r="D68" s="326"/>
      <c r="E68" s="326"/>
      <c r="F68" s="326"/>
      <c r="G68" s="326"/>
      <c r="H68" s="326"/>
      <c r="I68" s="326"/>
      <c r="J68" s="326"/>
      <c r="K68" s="326"/>
      <c r="L68" s="326"/>
      <c r="M68" s="243"/>
      <c r="N68" s="243"/>
      <c r="O68" s="269">
        <f>'Data Analysis'!AG359</f>
        <v>0</v>
      </c>
      <c r="P68" s="2348"/>
      <c r="Q68" s="2349"/>
      <c r="R68" s="2349"/>
      <c r="S68" s="2349"/>
      <c r="T68" s="2349"/>
      <c r="U68" s="2349"/>
      <c r="V68" s="2350"/>
      <c r="W68" s="2348"/>
      <c r="X68" s="2349"/>
      <c r="Y68" s="2349"/>
      <c r="Z68" s="2349"/>
      <c r="AA68" s="2349"/>
      <c r="AB68" s="2349"/>
      <c r="AC68" s="2372"/>
      <c r="AD68" s="245"/>
      <c r="AE68" s="5"/>
      <c r="AP68" s="2365"/>
      <c r="AQ68" s="2365"/>
      <c r="AR68" s="2365"/>
      <c r="AS68" s="2365"/>
      <c r="AT68" s="2365"/>
      <c r="AU68" s="2365"/>
    </row>
    <row r="69" spans="1:47" ht="20.100000000000001" customHeight="1" x14ac:dyDescent="0.3">
      <c r="A69" s="5"/>
      <c r="B69" s="245"/>
      <c r="C69" s="2385" t="str">
        <f>'Data Analysis'!F413</f>
        <v>Very Strong</v>
      </c>
      <c r="D69" s="2386"/>
      <c r="E69" s="2386"/>
      <c r="F69" s="2386"/>
      <c r="G69" s="2386"/>
      <c r="H69" s="2386"/>
      <c r="I69" s="2386"/>
      <c r="J69" s="326"/>
      <c r="K69" s="2387">
        <f>'Data Analysis'!E413</f>
        <v>5</v>
      </c>
      <c r="L69" s="2387"/>
      <c r="M69" s="243"/>
      <c r="N69" s="243"/>
      <c r="O69" s="270"/>
      <c r="P69" s="2348"/>
      <c r="Q69" s="2349"/>
      <c r="R69" s="2349"/>
      <c r="S69" s="2349"/>
      <c r="T69" s="2349"/>
      <c r="U69" s="2349"/>
      <c r="V69" s="2350"/>
      <c r="W69" s="2348"/>
      <c r="X69" s="2349"/>
      <c r="Y69" s="2349"/>
      <c r="Z69" s="2349"/>
      <c r="AA69" s="2349"/>
      <c r="AB69" s="2349"/>
      <c r="AC69" s="2372"/>
      <c r="AD69" s="245"/>
      <c r="AE69" s="5"/>
      <c r="AP69" s="2365"/>
      <c r="AQ69" s="2365"/>
      <c r="AR69" s="2365"/>
      <c r="AS69" s="2365"/>
      <c r="AT69" s="2365"/>
      <c r="AU69" s="2365"/>
    </row>
    <row r="70" spans="1:47" ht="20.100000000000001" customHeight="1" thickBot="1" x14ac:dyDescent="0.35">
      <c r="A70" s="286">
        <f>'Data Analysis'!D200</f>
        <v>5</v>
      </c>
      <c r="B70" s="245"/>
      <c r="C70" s="327"/>
      <c r="D70" s="328"/>
      <c r="E70" s="328"/>
      <c r="F70" s="328"/>
      <c r="G70" s="328"/>
      <c r="H70" s="328"/>
      <c r="I70" s="328"/>
      <c r="J70" s="328"/>
      <c r="K70" s="328"/>
      <c r="L70" s="328"/>
      <c r="M70" s="244"/>
      <c r="N70" s="244"/>
      <c r="O70" s="342"/>
      <c r="P70" s="2351"/>
      <c r="Q70" s="2352"/>
      <c r="R70" s="2352"/>
      <c r="S70" s="2352"/>
      <c r="T70" s="2352"/>
      <c r="U70" s="2352"/>
      <c r="V70" s="2353"/>
      <c r="W70" s="2351"/>
      <c r="X70" s="2352"/>
      <c r="Y70" s="2352"/>
      <c r="Z70" s="2352"/>
      <c r="AA70" s="2352"/>
      <c r="AB70" s="2352"/>
      <c r="AC70" s="2373"/>
      <c r="AD70" s="245"/>
      <c r="AE70" s="5"/>
      <c r="AP70" s="2365"/>
      <c r="AQ70" s="2365"/>
      <c r="AR70" s="2365"/>
      <c r="AS70" s="2365"/>
      <c r="AT70" s="2365"/>
      <c r="AU70" s="2365"/>
    </row>
    <row r="71" spans="1:47" ht="14.25" customHeight="1" thickBot="1" x14ac:dyDescent="0.35">
      <c r="A71" s="5"/>
      <c r="B71" s="245"/>
      <c r="C71" s="329"/>
      <c r="D71" s="329"/>
      <c r="E71" s="329"/>
      <c r="F71" s="329"/>
      <c r="G71" s="329"/>
      <c r="H71" s="329"/>
      <c r="I71" s="329"/>
      <c r="J71" s="329"/>
      <c r="K71" s="329"/>
      <c r="L71" s="329"/>
      <c r="M71" s="245"/>
      <c r="N71" s="245"/>
      <c r="O71" s="341"/>
      <c r="P71" s="329"/>
      <c r="Q71" s="329"/>
      <c r="R71" s="329"/>
      <c r="S71" s="329"/>
      <c r="T71" s="329"/>
      <c r="U71" s="329"/>
      <c r="V71" s="329"/>
      <c r="W71" s="343"/>
      <c r="X71" s="343"/>
      <c r="Y71" s="343"/>
      <c r="Z71" s="343"/>
      <c r="AA71" s="343"/>
      <c r="AB71" s="343"/>
      <c r="AC71" s="343"/>
      <c r="AD71" s="245"/>
      <c r="AE71" s="5"/>
      <c r="AP71" s="2365"/>
      <c r="AQ71" s="2365"/>
      <c r="AR71" s="2365"/>
      <c r="AS71" s="2365"/>
      <c r="AT71" s="2365"/>
      <c r="AU71" s="2365"/>
    </row>
    <row r="72" spans="1:47" ht="20.100000000000001" customHeight="1" x14ac:dyDescent="0.3">
      <c r="A72" s="5"/>
      <c r="B72" s="245"/>
      <c r="C72" s="1668" t="s">
        <v>557</v>
      </c>
      <c r="D72" s="1667"/>
      <c r="E72" s="1667"/>
      <c r="F72" s="1667"/>
      <c r="G72" s="1667"/>
      <c r="H72" s="374"/>
      <c r="I72" s="374"/>
      <c r="J72" s="374"/>
      <c r="K72" s="374"/>
      <c r="L72" s="374"/>
      <c r="M72" s="381" t="s">
        <v>279</v>
      </c>
      <c r="N72" s="382">
        <f>Admin!F25</f>
        <v>0.1</v>
      </c>
      <c r="O72" s="375"/>
      <c r="P72" s="376" t="s">
        <v>115</v>
      </c>
      <c r="Q72" s="374"/>
      <c r="R72" s="374"/>
      <c r="S72" s="374"/>
      <c r="T72" s="374"/>
      <c r="U72" s="374"/>
      <c r="V72" s="377"/>
      <c r="W72" s="378" t="str">
        <f>W50</f>
        <v>Identified areas to address</v>
      </c>
      <c r="X72" s="379"/>
      <c r="Y72" s="379"/>
      <c r="Z72" s="379"/>
      <c r="AA72" s="379"/>
      <c r="AB72" s="379"/>
      <c r="AC72" s="380"/>
      <c r="AD72" s="245"/>
      <c r="AE72" s="5"/>
      <c r="AP72" s="2365"/>
      <c r="AQ72" s="2365"/>
      <c r="AR72" s="2365"/>
      <c r="AS72" s="2365"/>
      <c r="AT72" s="2365"/>
      <c r="AU72" s="2365"/>
    </row>
    <row r="73" spans="1:47" ht="20.100000000000001" customHeight="1" x14ac:dyDescent="0.35">
      <c r="A73" s="286">
        <f>'Data Analysis'!D202</f>
        <v>4.1959999999999997</v>
      </c>
      <c r="B73" s="245"/>
      <c r="C73" s="409" t="str">
        <f>IF($K$76&lt;=C$51,"↓","")</f>
        <v/>
      </c>
      <c r="D73" s="330" t="str">
        <f>IF(AND($K$76&gt;C51,$K$76&lt;=D51),"↓","")</f>
        <v/>
      </c>
      <c r="E73" s="330" t="str">
        <f t="shared" ref="E73:L73" si="6">IF(AND($K$76&gt;D51,$K$76&lt;=E51),"↓","")</f>
        <v/>
      </c>
      <c r="F73" s="330" t="str">
        <f t="shared" si="6"/>
        <v/>
      </c>
      <c r="G73" s="330" t="str">
        <f t="shared" si="6"/>
        <v/>
      </c>
      <c r="H73" s="330" t="str">
        <f t="shared" si="6"/>
        <v/>
      </c>
      <c r="I73" s="330" t="str">
        <f t="shared" si="6"/>
        <v/>
      </c>
      <c r="J73" s="330" t="str">
        <f t="shared" si="6"/>
        <v/>
      </c>
      <c r="K73" s="330" t="str">
        <f t="shared" si="6"/>
        <v/>
      </c>
      <c r="L73" s="1148" t="str">
        <f t="shared" si="6"/>
        <v>↓</v>
      </c>
      <c r="M73" s="63" t="str">
        <f t="shared" ref="M73" si="7">IF(AND($K$76&gt;=M51,$K$76&lt;N51),"↓","")</f>
        <v/>
      </c>
      <c r="N73" s="243"/>
      <c r="O73" s="1846">
        <f>'Data Analysis'!R267</f>
        <v>0</v>
      </c>
      <c r="P73" s="2348" t="str">
        <f ca="1">IF(AND('Data Analysis'!F337=0,'Data Analysis'!F338=1,'Data Analysis'!F340=1),Comments!J30,Comments!J29)</f>
        <v>The project is extremely amenable as a PPP. There is a strong indication of value for money and potentially favorable market  interest.</v>
      </c>
      <c r="Q73" s="2349"/>
      <c r="R73" s="2349"/>
      <c r="S73" s="2349"/>
      <c r="T73" s="2349"/>
      <c r="U73" s="2349"/>
      <c r="V73" s="2350"/>
      <c r="W73" s="2348" t="str">
        <f>Comments!U75</f>
        <v xml:space="preserve">   .</v>
      </c>
      <c r="X73" s="2349"/>
      <c r="Y73" s="2349"/>
      <c r="Z73" s="2349"/>
      <c r="AA73" s="2349"/>
      <c r="AB73" s="2349"/>
      <c r="AC73" s="2372"/>
      <c r="AD73" s="245"/>
      <c r="AE73" s="5"/>
      <c r="AP73" s="2365"/>
      <c r="AQ73" s="2365"/>
      <c r="AR73" s="2365"/>
      <c r="AS73" s="2365"/>
      <c r="AT73" s="2365"/>
      <c r="AU73" s="2365"/>
    </row>
    <row r="74" spans="1:47" ht="20.100000000000001" customHeight="1" x14ac:dyDescent="0.3">
      <c r="A74" s="5"/>
      <c r="B74" s="245"/>
      <c r="C74" s="325"/>
      <c r="D74" s="326"/>
      <c r="E74" s="326"/>
      <c r="F74" s="326"/>
      <c r="G74" s="326"/>
      <c r="H74" s="326"/>
      <c r="I74" s="326"/>
      <c r="J74" s="326"/>
      <c r="K74" s="326"/>
      <c r="L74" s="326"/>
      <c r="M74" s="243"/>
      <c r="N74" s="243"/>
      <c r="O74" s="295">
        <f>'Data Analysis'!AG420</f>
        <v>0</v>
      </c>
      <c r="P74" s="2348"/>
      <c r="Q74" s="2349"/>
      <c r="R74" s="2349"/>
      <c r="S74" s="2349"/>
      <c r="T74" s="2349"/>
      <c r="U74" s="2349"/>
      <c r="V74" s="2350"/>
      <c r="W74" s="2348"/>
      <c r="X74" s="2349"/>
      <c r="Y74" s="2349"/>
      <c r="Z74" s="2349"/>
      <c r="AA74" s="2349"/>
      <c r="AB74" s="2349"/>
      <c r="AC74" s="2372"/>
      <c r="AD74" s="245"/>
      <c r="AE74" s="5"/>
      <c r="AP74" s="2365"/>
      <c r="AQ74" s="2365"/>
      <c r="AR74" s="2365"/>
      <c r="AS74" s="2365"/>
      <c r="AT74" s="2365"/>
      <c r="AU74" s="2365"/>
    </row>
    <row r="75" spans="1:47" ht="20.100000000000001" customHeight="1" x14ac:dyDescent="0.3">
      <c r="A75" s="5"/>
      <c r="B75" s="245"/>
      <c r="C75" s="325"/>
      <c r="D75" s="326"/>
      <c r="E75" s="326"/>
      <c r="F75" s="326"/>
      <c r="G75" s="326"/>
      <c r="H75" s="326"/>
      <c r="I75" s="326"/>
      <c r="J75" s="326"/>
      <c r="K75" s="326"/>
      <c r="L75" s="326"/>
      <c r="M75" s="243"/>
      <c r="N75" s="243"/>
      <c r="O75" s="269">
        <f>'Data Analysis'!AG422</f>
        <v>0</v>
      </c>
      <c r="P75" s="2348"/>
      <c r="Q75" s="2349"/>
      <c r="R75" s="2349"/>
      <c r="S75" s="2349"/>
      <c r="T75" s="2349"/>
      <c r="U75" s="2349"/>
      <c r="V75" s="2350"/>
      <c r="W75" s="2348"/>
      <c r="X75" s="2349"/>
      <c r="Y75" s="2349"/>
      <c r="Z75" s="2349"/>
      <c r="AA75" s="2349"/>
      <c r="AB75" s="2349"/>
      <c r="AC75" s="2372"/>
      <c r="AD75" s="245"/>
      <c r="AE75" s="5"/>
      <c r="AP75" s="2365"/>
      <c r="AQ75" s="2365"/>
      <c r="AR75" s="2365"/>
      <c r="AS75" s="2365"/>
      <c r="AT75" s="2365"/>
      <c r="AU75" s="2365"/>
    </row>
    <row r="76" spans="1:47" ht="20.100000000000001" customHeight="1" x14ac:dyDescent="0.3">
      <c r="A76" s="5"/>
      <c r="B76" s="245"/>
      <c r="C76" s="2385" t="str">
        <f>'Data Analysis'!F437</f>
        <v>Very Strong</v>
      </c>
      <c r="D76" s="2386"/>
      <c r="E76" s="2386"/>
      <c r="F76" s="2386"/>
      <c r="G76" s="2386"/>
      <c r="H76" s="2386"/>
      <c r="I76" s="2386"/>
      <c r="J76" s="326"/>
      <c r="K76" s="2413">
        <f>'Data Analysis'!E437</f>
        <v>5</v>
      </c>
      <c r="L76" s="2386"/>
      <c r="M76" s="243"/>
      <c r="N76" s="243"/>
      <c r="O76" s="270"/>
      <c r="P76" s="2348"/>
      <c r="Q76" s="2349"/>
      <c r="R76" s="2349"/>
      <c r="S76" s="2349"/>
      <c r="T76" s="2349"/>
      <c r="U76" s="2349"/>
      <c r="V76" s="2350"/>
      <c r="W76" s="2348"/>
      <c r="X76" s="2349"/>
      <c r="Y76" s="2349"/>
      <c r="Z76" s="2349"/>
      <c r="AA76" s="2349"/>
      <c r="AB76" s="2349"/>
      <c r="AC76" s="2372"/>
      <c r="AD76" s="245"/>
      <c r="AE76" s="5"/>
      <c r="AP76" s="2365"/>
      <c r="AQ76" s="2365"/>
      <c r="AR76" s="2365"/>
      <c r="AS76" s="2365"/>
      <c r="AT76" s="2365"/>
      <c r="AU76" s="2365"/>
    </row>
    <row r="77" spans="1:47" ht="20.100000000000001" customHeight="1" thickBot="1" x14ac:dyDescent="0.35">
      <c r="A77" s="5"/>
      <c r="B77" s="245"/>
      <c r="C77" s="327"/>
      <c r="D77" s="328"/>
      <c r="E77" s="328"/>
      <c r="F77" s="328"/>
      <c r="G77" s="328"/>
      <c r="H77" s="328"/>
      <c r="I77" s="328"/>
      <c r="J77" s="328"/>
      <c r="K77" s="328"/>
      <c r="L77" s="328"/>
      <c r="M77" s="244"/>
      <c r="N77" s="244"/>
      <c r="O77" s="342"/>
      <c r="P77" s="2351"/>
      <c r="Q77" s="2352"/>
      <c r="R77" s="2352"/>
      <c r="S77" s="2352"/>
      <c r="T77" s="2352"/>
      <c r="U77" s="2352"/>
      <c r="V77" s="2353"/>
      <c r="W77" s="2351"/>
      <c r="X77" s="2352"/>
      <c r="Y77" s="2352"/>
      <c r="Z77" s="2352"/>
      <c r="AA77" s="2352"/>
      <c r="AB77" s="2352"/>
      <c r="AC77" s="2373"/>
      <c r="AD77" s="245"/>
      <c r="AE77" s="5"/>
      <c r="AP77" s="2365"/>
      <c r="AQ77" s="2365"/>
      <c r="AR77" s="2365"/>
      <c r="AS77" s="2365"/>
      <c r="AT77" s="2365"/>
      <c r="AU77" s="2365"/>
    </row>
    <row r="78" spans="1:47" ht="14.25" customHeight="1" thickBot="1" x14ac:dyDescent="0.35">
      <c r="A78" s="5"/>
      <c r="B78" s="245"/>
      <c r="C78" s="329"/>
      <c r="D78" s="329"/>
      <c r="E78" s="329"/>
      <c r="F78" s="329"/>
      <c r="G78" s="329"/>
      <c r="H78" s="329"/>
      <c r="I78" s="329"/>
      <c r="J78" s="329"/>
      <c r="K78" s="329"/>
      <c r="L78" s="329"/>
      <c r="M78" s="245"/>
      <c r="N78" s="245"/>
      <c r="O78" s="341"/>
      <c r="P78" s="329"/>
      <c r="Q78" s="329"/>
      <c r="R78" s="329"/>
      <c r="S78" s="329"/>
      <c r="T78" s="329"/>
      <c r="U78" s="329"/>
      <c r="V78" s="329"/>
      <c r="W78" s="343"/>
      <c r="X78" s="343"/>
      <c r="Y78" s="343"/>
      <c r="Z78" s="343"/>
      <c r="AA78" s="343"/>
      <c r="AB78" s="343"/>
      <c r="AC78" s="343"/>
      <c r="AD78" s="245"/>
      <c r="AE78" s="5"/>
      <c r="AP78" s="2365"/>
      <c r="AQ78" s="2365"/>
      <c r="AR78" s="2365"/>
      <c r="AS78" s="2365"/>
      <c r="AT78" s="2365"/>
      <c r="AU78" s="2365"/>
    </row>
    <row r="79" spans="1:47" ht="20.100000000000001" customHeight="1" x14ac:dyDescent="0.3">
      <c r="A79" s="5"/>
      <c r="B79" s="245"/>
      <c r="C79" s="1670" t="s">
        <v>293</v>
      </c>
      <c r="D79" s="1669"/>
      <c r="E79" s="1669"/>
      <c r="F79" s="1669"/>
      <c r="G79" s="1669"/>
      <c r="H79" s="1669"/>
      <c r="I79" s="383"/>
      <c r="J79" s="383"/>
      <c r="K79" s="383"/>
      <c r="L79" s="383"/>
      <c r="M79" s="390" t="s">
        <v>279</v>
      </c>
      <c r="N79" s="392">
        <f>Admin!F28</f>
        <v>0.2</v>
      </c>
      <c r="O79" s="384"/>
      <c r="P79" s="385" t="s">
        <v>115</v>
      </c>
      <c r="Q79" s="383"/>
      <c r="R79" s="383"/>
      <c r="S79" s="383"/>
      <c r="T79" s="383"/>
      <c r="U79" s="383"/>
      <c r="V79" s="386"/>
      <c r="W79" s="387" t="str">
        <f>W50</f>
        <v>Identified areas to address</v>
      </c>
      <c r="X79" s="388"/>
      <c r="Y79" s="388"/>
      <c r="Z79" s="388"/>
      <c r="AA79" s="388"/>
      <c r="AB79" s="388"/>
      <c r="AC79" s="389"/>
      <c r="AD79" s="245"/>
      <c r="AE79" s="5"/>
    </row>
    <row r="80" spans="1:47" ht="20.100000000000001" customHeight="1" x14ac:dyDescent="0.35">
      <c r="A80" s="5"/>
      <c r="B80" s="245"/>
      <c r="C80" s="409" t="str">
        <f>IF($K$83&lt;=C$51,"↓","")</f>
        <v/>
      </c>
      <c r="D80" s="408" t="str">
        <f>IF(AND($K$83&gt;C51,$K$83&lt;=D51),"↓","")</f>
        <v/>
      </c>
      <c r="E80" s="408" t="str">
        <f t="shared" ref="E80:L80" si="8">IF(AND($K$83&gt;D51,$K$83&lt;=E51),"↓","")</f>
        <v/>
      </c>
      <c r="F80" s="408" t="str">
        <f t="shared" si="8"/>
        <v/>
      </c>
      <c r="G80" s="408" t="str">
        <f t="shared" si="8"/>
        <v/>
      </c>
      <c r="H80" s="408" t="str">
        <f t="shared" si="8"/>
        <v/>
      </c>
      <c r="I80" s="408" t="str">
        <f t="shared" si="8"/>
        <v/>
      </c>
      <c r="J80" s="408" t="str">
        <f t="shared" si="8"/>
        <v/>
      </c>
      <c r="K80" s="408" t="str">
        <f t="shared" si="8"/>
        <v>↓</v>
      </c>
      <c r="L80" s="408" t="str">
        <f t="shared" si="8"/>
        <v/>
      </c>
      <c r="M80" s="63" t="str">
        <f t="shared" ref="M80" si="9">IF(AND($K$83&gt;=M51,$K$83&lt;N51),"↓","")</f>
        <v/>
      </c>
      <c r="N80" s="243"/>
      <c r="O80" s="1846">
        <f>'Data Analysis'!S267</f>
        <v>0</v>
      </c>
      <c r="P80" s="2348" t="str">
        <f>Comments!J34</f>
        <v>The fiscal commitments are within acceptable budget ceilings and their collective impact is fiscally manageable by the government.</v>
      </c>
      <c r="Q80" s="2349"/>
      <c r="R80" s="2349"/>
      <c r="S80" s="2349"/>
      <c r="T80" s="2349"/>
      <c r="U80" s="2349"/>
      <c r="V80" s="2350"/>
      <c r="W80" s="2348" t="str">
        <f>Comments!U78</f>
        <v xml:space="preserve">   .</v>
      </c>
      <c r="X80" s="2349"/>
      <c r="Y80" s="2349"/>
      <c r="Z80" s="2349"/>
      <c r="AA80" s="2349"/>
      <c r="AB80" s="2349"/>
      <c r="AC80" s="2372"/>
      <c r="AD80" s="245"/>
      <c r="AE80" s="5"/>
    </row>
    <row r="81" spans="1:62" ht="20.100000000000001" customHeight="1" x14ac:dyDescent="0.3">
      <c r="A81" s="5"/>
      <c r="B81" s="245"/>
      <c r="C81" s="325"/>
      <c r="D81" s="326"/>
      <c r="E81" s="326"/>
      <c r="F81" s="326"/>
      <c r="G81" s="326"/>
      <c r="H81" s="326"/>
      <c r="I81" s="326"/>
      <c r="J81" s="326"/>
      <c r="K81" s="326"/>
      <c r="L81" s="326"/>
      <c r="M81" s="243"/>
      <c r="N81" s="243"/>
      <c r="O81" s="269">
        <f>'Data Analysis'!AG444</f>
        <v>0</v>
      </c>
      <c r="P81" s="2348"/>
      <c r="Q81" s="2349"/>
      <c r="R81" s="2349"/>
      <c r="S81" s="2349"/>
      <c r="T81" s="2349"/>
      <c r="U81" s="2349"/>
      <c r="V81" s="2350"/>
      <c r="W81" s="2348"/>
      <c r="X81" s="2349"/>
      <c r="Y81" s="2349"/>
      <c r="Z81" s="2349"/>
      <c r="AA81" s="2349"/>
      <c r="AB81" s="2349"/>
      <c r="AC81" s="2372"/>
      <c r="AD81" s="245"/>
      <c r="AE81" s="5"/>
    </row>
    <row r="82" spans="1:62" ht="20.100000000000001" customHeight="1" x14ac:dyDescent="0.3">
      <c r="A82" s="5"/>
      <c r="B82" s="245"/>
      <c r="C82" s="325"/>
      <c r="D82" s="326"/>
      <c r="E82" s="326"/>
      <c r="F82" s="326"/>
      <c r="G82" s="326"/>
      <c r="H82" s="326"/>
      <c r="I82" s="326"/>
      <c r="J82" s="326"/>
      <c r="K82" s="326"/>
      <c r="L82" s="326"/>
      <c r="M82" s="243"/>
      <c r="N82" s="243"/>
      <c r="O82" s="269">
        <f>'Data Analysis'!AG446</f>
        <v>0</v>
      </c>
      <c r="P82" s="2348"/>
      <c r="Q82" s="2349"/>
      <c r="R82" s="2349"/>
      <c r="S82" s="2349"/>
      <c r="T82" s="2349"/>
      <c r="U82" s="2349"/>
      <c r="V82" s="2350"/>
      <c r="W82" s="2348"/>
      <c r="X82" s="2349"/>
      <c r="Y82" s="2349"/>
      <c r="Z82" s="2349"/>
      <c r="AA82" s="2349"/>
      <c r="AB82" s="2349"/>
      <c r="AC82" s="2372"/>
      <c r="AD82" s="245"/>
      <c r="AE82" s="5"/>
    </row>
    <row r="83" spans="1:62" ht="20.100000000000001" customHeight="1" x14ac:dyDescent="0.3">
      <c r="A83" s="5"/>
      <c r="B83" s="245"/>
      <c r="C83" s="2385" t="str">
        <f>'Data Analysis'!F457</f>
        <v>Strong</v>
      </c>
      <c r="D83" s="2386"/>
      <c r="E83" s="2386"/>
      <c r="F83" s="2386"/>
      <c r="G83" s="2386"/>
      <c r="H83" s="2386"/>
      <c r="I83" s="2386"/>
      <c r="J83" s="326"/>
      <c r="K83" s="2387">
        <f>'Data Analysis'!E457</f>
        <v>4.1959999999999997</v>
      </c>
      <c r="L83" s="2387"/>
      <c r="M83" s="243"/>
      <c r="N83" s="243"/>
      <c r="O83" s="270"/>
      <c r="P83" s="2348"/>
      <c r="Q83" s="2349"/>
      <c r="R83" s="2349"/>
      <c r="S83" s="2349"/>
      <c r="T83" s="2349"/>
      <c r="U83" s="2349"/>
      <c r="V83" s="2350"/>
      <c r="W83" s="2348"/>
      <c r="X83" s="2349"/>
      <c r="Y83" s="2349"/>
      <c r="Z83" s="2349"/>
      <c r="AA83" s="2349"/>
      <c r="AB83" s="2349"/>
      <c r="AC83" s="2372"/>
      <c r="AD83" s="245"/>
      <c r="AE83" s="5"/>
    </row>
    <row r="84" spans="1:62" ht="20.100000000000001" customHeight="1" thickBot="1" x14ac:dyDescent="0.35">
      <c r="A84" s="5"/>
      <c r="B84" s="245"/>
      <c r="C84" s="327"/>
      <c r="D84" s="328"/>
      <c r="E84" s="328"/>
      <c r="F84" s="328"/>
      <c r="G84" s="328"/>
      <c r="H84" s="328"/>
      <c r="I84" s="328"/>
      <c r="J84" s="328"/>
      <c r="K84" s="328"/>
      <c r="L84" s="328"/>
      <c r="M84" s="244"/>
      <c r="N84" s="244"/>
      <c r="O84" s="342"/>
      <c r="P84" s="2351"/>
      <c r="Q84" s="2352"/>
      <c r="R84" s="2352"/>
      <c r="S84" s="2352"/>
      <c r="T84" s="2352"/>
      <c r="U84" s="2352"/>
      <c r="V84" s="2353"/>
      <c r="W84" s="2351"/>
      <c r="X84" s="2352"/>
      <c r="Y84" s="2352"/>
      <c r="Z84" s="2352"/>
      <c r="AA84" s="2352"/>
      <c r="AB84" s="2352"/>
      <c r="AC84" s="2373"/>
      <c r="AD84" s="245"/>
      <c r="AE84" s="5"/>
    </row>
    <row r="85" spans="1:62" ht="14.25" customHeight="1" thickBot="1" x14ac:dyDescent="0.4">
      <c r="A85" s="5"/>
      <c r="B85" s="245"/>
      <c r="C85" s="329"/>
      <c r="D85" s="329"/>
      <c r="E85" s="329"/>
      <c r="F85" s="329"/>
      <c r="G85" s="329"/>
      <c r="H85" s="329"/>
      <c r="I85" s="329"/>
      <c r="J85" s="329"/>
      <c r="K85" s="329"/>
      <c r="L85" s="329"/>
      <c r="M85" s="245"/>
      <c r="N85" s="245"/>
      <c r="O85" s="341"/>
      <c r="P85" s="329"/>
      <c r="Q85" s="329"/>
      <c r="R85" s="329"/>
      <c r="S85" s="329"/>
      <c r="T85" s="329"/>
      <c r="U85" s="329"/>
      <c r="V85" s="329"/>
      <c r="W85" s="343"/>
      <c r="X85" s="343"/>
      <c r="Y85" s="343"/>
      <c r="Z85" s="343"/>
      <c r="AA85" s="343"/>
      <c r="AB85" s="343"/>
      <c r="AC85" s="343"/>
      <c r="AD85" s="245"/>
      <c r="AE85" s="5"/>
      <c r="AG85" s="2388"/>
      <c r="AH85" s="2388"/>
      <c r="AI85" s="2388"/>
      <c r="AJ85" s="2388"/>
      <c r="AK85" s="2388"/>
      <c r="AL85" s="2388"/>
      <c r="AM85" s="2388"/>
      <c r="AN85" s="238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row>
    <row r="86" spans="1:62" ht="20.100000000000001" customHeight="1" x14ac:dyDescent="0.35">
      <c r="A86" s="286">
        <f>'Data Analysis'!D203</f>
        <v>5.0000000000000009</v>
      </c>
      <c r="B86" s="245"/>
      <c r="C86" s="1662" t="s">
        <v>613</v>
      </c>
      <c r="D86" s="1671"/>
      <c r="E86" s="1671"/>
      <c r="F86" s="1671"/>
      <c r="G86" s="1671"/>
      <c r="H86" s="1671"/>
      <c r="I86" s="1671"/>
      <c r="J86" s="364"/>
      <c r="K86" s="364"/>
      <c r="L86" s="364"/>
      <c r="M86" s="371" t="s">
        <v>279</v>
      </c>
      <c r="N86" s="393">
        <f>Admin!F31</f>
        <v>0.1</v>
      </c>
      <c r="O86" s="365"/>
      <c r="P86" s="366" t="s">
        <v>115</v>
      </c>
      <c r="Q86" s="364"/>
      <c r="R86" s="364"/>
      <c r="S86" s="364"/>
      <c r="T86" s="364"/>
      <c r="U86" s="364"/>
      <c r="V86" s="367"/>
      <c r="W86" s="368" t="str">
        <f>W50</f>
        <v>Identified areas to address</v>
      </c>
      <c r="X86" s="369"/>
      <c r="Y86" s="369"/>
      <c r="Z86" s="369"/>
      <c r="AA86" s="369"/>
      <c r="AB86" s="369"/>
      <c r="AC86" s="370"/>
      <c r="AD86" s="245"/>
      <c r="AE86" s="5"/>
      <c r="AG86" s="2388"/>
      <c r="AH86" s="2388"/>
      <c r="AI86" s="2388"/>
      <c r="AJ86" s="2388"/>
      <c r="AK86" s="2388"/>
      <c r="AL86" s="2388"/>
      <c r="AM86" s="2388"/>
      <c r="AN86" s="2388"/>
      <c r="AO86" s="249"/>
      <c r="AP86" s="2365"/>
      <c r="AQ86" s="2365"/>
      <c r="AR86" s="2365"/>
      <c r="AS86" s="2365"/>
      <c r="AT86" s="2365"/>
      <c r="AU86" s="2365"/>
      <c r="AV86" s="2365"/>
      <c r="AW86" s="2365"/>
      <c r="AX86" s="2365"/>
      <c r="AY86" s="2365"/>
      <c r="AZ86" s="2365"/>
      <c r="BA86" s="2365"/>
      <c r="BB86" s="2365"/>
      <c r="BC86" s="2365"/>
      <c r="BD86" s="2365"/>
      <c r="BE86" s="2365"/>
      <c r="BF86" s="2365"/>
      <c r="BG86" s="2365"/>
      <c r="BH86" s="2365"/>
      <c r="BI86" s="2365"/>
      <c r="BJ86" s="2365"/>
    </row>
    <row r="87" spans="1:62" ht="20.100000000000001" customHeight="1" x14ac:dyDescent="0.65">
      <c r="A87" s="5"/>
      <c r="B87" s="245"/>
      <c r="C87" s="409" t="str">
        <f>IF($K$90&lt;=C$51,"↓","")</f>
        <v/>
      </c>
      <c r="D87" s="408" t="str">
        <f>IF(AND($K$90&gt;C51,$K$90&lt;=D51),"↓","")</f>
        <v/>
      </c>
      <c r="E87" s="408" t="str">
        <f t="shared" ref="E87:L87" si="10">IF(AND($K$90&gt;D51,$K$90&lt;=E51),"↓","")</f>
        <v/>
      </c>
      <c r="F87" s="408" t="str">
        <f t="shared" si="10"/>
        <v/>
      </c>
      <c r="G87" s="408" t="str">
        <f t="shared" si="10"/>
        <v/>
      </c>
      <c r="H87" s="408" t="str">
        <f t="shared" si="10"/>
        <v/>
      </c>
      <c r="I87" s="408" t="str">
        <f t="shared" si="10"/>
        <v/>
      </c>
      <c r="J87" s="408" t="str">
        <f t="shared" si="10"/>
        <v/>
      </c>
      <c r="K87" s="408" t="str">
        <f t="shared" si="10"/>
        <v/>
      </c>
      <c r="L87" s="408" t="str">
        <f t="shared" si="10"/>
        <v>↓</v>
      </c>
      <c r="M87" s="63" t="str">
        <f t="shared" ref="M87" si="11">IF(AND($K$90&gt;=M51,$K$90&lt;N51),"↓","")</f>
        <v/>
      </c>
      <c r="N87" s="243"/>
      <c r="O87" s="1846">
        <f>'Data Analysis'!T267</f>
        <v>0</v>
      </c>
      <c r="P87" s="2348" t="str">
        <f>Comments!J38</f>
        <v xml:space="preserve">The contracting agency has an implementable plan for developing the project . It also has very strong capability and dedicated, experienced personnel to manage the PPP. </v>
      </c>
      <c r="Q87" s="2349"/>
      <c r="R87" s="2349"/>
      <c r="S87" s="2349"/>
      <c r="T87" s="2349"/>
      <c r="U87" s="2349"/>
      <c r="V87" s="2350"/>
      <c r="W87" s="2348" t="str">
        <f>Comments!U81</f>
        <v xml:space="preserve">      .</v>
      </c>
      <c r="X87" s="2349"/>
      <c r="Y87" s="2349"/>
      <c r="Z87" s="2349"/>
      <c r="AA87" s="2349"/>
      <c r="AB87" s="2349"/>
      <c r="AC87" s="2372"/>
      <c r="AD87" s="242"/>
      <c r="AE87" s="5"/>
      <c r="AG87" s="2388"/>
      <c r="AH87" s="2388"/>
      <c r="AI87" s="2388"/>
      <c r="AJ87" s="2388"/>
      <c r="AK87" s="2388"/>
      <c r="AL87" s="2388"/>
      <c r="AM87" s="2388"/>
      <c r="AN87" s="2388"/>
      <c r="AO87" s="249"/>
      <c r="AP87" s="2365"/>
      <c r="AQ87" s="2365"/>
      <c r="AR87" s="2365"/>
      <c r="AS87" s="2365"/>
      <c r="AT87" s="2365"/>
      <c r="AU87" s="2365"/>
      <c r="AV87" s="2365"/>
      <c r="AW87" s="2365"/>
      <c r="AX87" s="2365"/>
      <c r="AY87" s="2365"/>
      <c r="AZ87" s="2365"/>
      <c r="BA87" s="2365"/>
      <c r="BB87" s="2365"/>
      <c r="BC87" s="2365"/>
      <c r="BD87" s="2365"/>
      <c r="BE87" s="2365"/>
      <c r="BF87" s="2365"/>
      <c r="BG87" s="2365"/>
      <c r="BH87" s="2365"/>
      <c r="BI87" s="2365"/>
      <c r="BJ87" s="2365"/>
    </row>
    <row r="88" spans="1:62" ht="20.100000000000001" customHeight="1" x14ac:dyDescent="0.3">
      <c r="A88" s="5"/>
      <c r="B88" s="245"/>
      <c r="C88" s="325"/>
      <c r="D88" s="326"/>
      <c r="E88" s="326"/>
      <c r="F88" s="326"/>
      <c r="G88" s="326"/>
      <c r="H88" s="326"/>
      <c r="I88" s="326"/>
      <c r="J88" s="326"/>
      <c r="K88" s="326"/>
      <c r="L88" s="326"/>
      <c r="M88" s="243"/>
      <c r="N88" s="243"/>
      <c r="O88" s="269">
        <f>'Data Analysis'!AG480</f>
        <v>0</v>
      </c>
      <c r="P88" s="2348"/>
      <c r="Q88" s="2349"/>
      <c r="R88" s="2349"/>
      <c r="S88" s="2349"/>
      <c r="T88" s="2349"/>
      <c r="U88" s="2349"/>
      <c r="V88" s="2350"/>
      <c r="W88" s="2348"/>
      <c r="X88" s="2349"/>
      <c r="Y88" s="2349"/>
      <c r="Z88" s="2349"/>
      <c r="AA88" s="2349"/>
      <c r="AB88" s="2349"/>
      <c r="AC88" s="2372"/>
      <c r="AD88" s="245"/>
      <c r="AE88" s="5"/>
      <c r="AG88" s="2388"/>
      <c r="AH88" s="2388"/>
      <c r="AI88" s="2388"/>
      <c r="AJ88" s="2388"/>
      <c r="AK88" s="2388"/>
      <c r="AL88" s="2388"/>
      <c r="AM88" s="2388"/>
      <c r="AN88" s="2388"/>
      <c r="AO88" s="250"/>
      <c r="AP88" s="2375"/>
      <c r="AQ88" s="2375"/>
      <c r="AR88" s="2375"/>
      <c r="AS88" s="2375"/>
      <c r="AT88" s="2375"/>
      <c r="AU88" s="2375"/>
      <c r="AV88" s="2375"/>
      <c r="AW88" s="2375"/>
      <c r="AX88" s="2375"/>
      <c r="AY88" s="2375"/>
      <c r="AZ88" s="2375"/>
      <c r="BA88" s="2375"/>
      <c r="BB88" s="2375"/>
      <c r="BC88" s="2375"/>
      <c r="BD88" s="2375"/>
      <c r="BE88" s="2375"/>
      <c r="BF88" s="2375"/>
      <c r="BG88" s="2375"/>
      <c r="BH88" s="2375"/>
      <c r="BI88" s="2375"/>
      <c r="BJ88" s="2375"/>
    </row>
    <row r="89" spans="1:62" ht="20.100000000000001" customHeight="1" x14ac:dyDescent="0.3">
      <c r="A89" s="5"/>
      <c r="B89" s="245"/>
      <c r="C89" s="325"/>
      <c r="D89" s="326"/>
      <c r="E89" s="326"/>
      <c r="F89" s="326"/>
      <c r="G89" s="326"/>
      <c r="H89" s="326"/>
      <c r="I89" s="326"/>
      <c r="J89" s="326"/>
      <c r="K89" s="326"/>
      <c r="L89" s="326"/>
      <c r="M89" s="243"/>
      <c r="N89" s="243"/>
      <c r="O89" s="269">
        <f>'Data Analysis'!AG482</f>
        <v>0</v>
      </c>
      <c r="P89" s="2348"/>
      <c r="Q89" s="2349"/>
      <c r="R89" s="2349"/>
      <c r="S89" s="2349"/>
      <c r="T89" s="2349"/>
      <c r="U89" s="2349"/>
      <c r="V89" s="2350"/>
      <c r="W89" s="2348"/>
      <c r="X89" s="2349"/>
      <c r="Y89" s="2349"/>
      <c r="Z89" s="2349"/>
      <c r="AA89" s="2349"/>
      <c r="AB89" s="2349"/>
      <c r="AC89" s="2372"/>
      <c r="AD89" s="245"/>
      <c r="AE89" s="5"/>
      <c r="AG89" s="2388"/>
      <c r="AH89" s="2388"/>
      <c r="AI89" s="2388"/>
      <c r="AJ89" s="2388"/>
      <c r="AK89" s="2388"/>
      <c r="AL89" s="2388"/>
      <c r="AM89" s="2388"/>
      <c r="AN89" s="2388"/>
      <c r="AO89" s="250"/>
      <c r="AP89" s="279"/>
      <c r="AQ89" s="279"/>
      <c r="AR89" s="279"/>
      <c r="AS89" s="279"/>
      <c r="AT89" s="279"/>
      <c r="AU89" s="279"/>
      <c r="AV89" s="279"/>
      <c r="AW89" s="279"/>
      <c r="AX89" s="279"/>
      <c r="AY89" s="279"/>
      <c r="AZ89" s="279"/>
      <c r="BA89" s="279"/>
      <c r="BB89" s="279"/>
      <c r="BC89" s="279"/>
      <c r="BD89" s="279"/>
      <c r="BE89" s="279"/>
      <c r="BF89" s="279"/>
      <c r="BG89" s="279"/>
      <c r="BH89" s="279"/>
      <c r="BI89" s="279"/>
      <c r="BJ89" s="279"/>
    </row>
    <row r="90" spans="1:62" ht="20.100000000000001" customHeight="1" x14ac:dyDescent="0.3">
      <c r="A90" s="5"/>
      <c r="B90" s="245"/>
      <c r="C90" s="2385" t="str">
        <f>'Data Analysis'!F498</f>
        <v>Very Strong</v>
      </c>
      <c r="D90" s="2386"/>
      <c r="E90" s="2386"/>
      <c r="F90" s="2386"/>
      <c r="G90" s="2386"/>
      <c r="H90" s="2386"/>
      <c r="I90" s="2386"/>
      <c r="J90" s="326"/>
      <c r="K90" s="2387">
        <f>'Data Analysis'!E498</f>
        <v>5.0000000000000009</v>
      </c>
      <c r="L90" s="2386"/>
      <c r="M90" s="243"/>
      <c r="N90" s="243"/>
      <c r="O90" s="270"/>
      <c r="P90" s="2348"/>
      <c r="Q90" s="2349"/>
      <c r="R90" s="2349"/>
      <c r="S90" s="2349"/>
      <c r="T90" s="2349"/>
      <c r="U90" s="2349"/>
      <c r="V90" s="2350"/>
      <c r="W90" s="2348"/>
      <c r="X90" s="2349"/>
      <c r="Y90" s="2349"/>
      <c r="Z90" s="2349"/>
      <c r="AA90" s="2349"/>
      <c r="AB90" s="2349"/>
      <c r="AC90" s="2372"/>
      <c r="AD90" s="245"/>
      <c r="AE90" s="5"/>
      <c r="AG90" s="2388"/>
      <c r="AH90" s="2388"/>
      <c r="AI90" s="2388"/>
      <c r="AJ90" s="2388"/>
      <c r="AK90" s="2388"/>
      <c r="AL90" s="2388"/>
      <c r="AM90" s="2388"/>
      <c r="AN90" s="2388"/>
      <c r="AO90" s="250"/>
      <c r="AP90" s="279"/>
      <c r="AQ90" s="279"/>
      <c r="AR90" s="279"/>
      <c r="AS90" s="279"/>
      <c r="AT90" s="279"/>
      <c r="AU90" s="279"/>
      <c r="AV90" s="279"/>
      <c r="AW90" s="279"/>
      <c r="AX90" s="279"/>
      <c r="AY90" s="279"/>
      <c r="AZ90" s="279"/>
      <c r="BA90" s="279"/>
      <c r="BB90" s="279"/>
      <c r="BC90" s="279"/>
      <c r="BD90" s="279"/>
      <c r="BE90" s="279"/>
      <c r="BF90" s="279"/>
      <c r="BG90" s="279"/>
      <c r="BH90" s="279"/>
      <c r="BI90" s="279"/>
      <c r="BJ90" s="279"/>
    </row>
    <row r="91" spans="1:62" ht="20.100000000000001" customHeight="1" thickBot="1" x14ac:dyDescent="0.35">
      <c r="A91" s="5"/>
      <c r="B91" s="245"/>
      <c r="C91" s="327"/>
      <c r="D91" s="328"/>
      <c r="E91" s="328"/>
      <c r="F91" s="328"/>
      <c r="G91" s="328"/>
      <c r="H91" s="328"/>
      <c r="I91" s="328"/>
      <c r="J91" s="328"/>
      <c r="K91" s="328"/>
      <c r="L91" s="328"/>
      <c r="M91" s="244"/>
      <c r="N91" s="244"/>
      <c r="O91" s="342"/>
      <c r="P91" s="2351"/>
      <c r="Q91" s="2352"/>
      <c r="R91" s="2352"/>
      <c r="S91" s="2352"/>
      <c r="T91" s="2352"/>
      <c r="U91" s="2352"/>
      <c r="V91" s="2353"/>
      <c r="W91" s="2351"/>
      <c r="X91" s="2352"/>
      <c r="Y91" s="2352"/>
      <c r="Z91" s="2352"/>
      <c r="AA91" s="2352"/>
      <c r="AB91" s="2352"/>
      <c r="AC91" s="2373"/>
      <c r="AD91" s="245"/>
      <c r="AE91" s="5"/>
      <c r="AG91" s="2388"/>
      <c r="AH91" s="2388"/>
      <c r="AI91" s="2388"/>
      <c r="AJ91" s="2388"/>
      <c r="AK91" s="2388"/>
      <c r="AL91" s="2388"/>
      <c r="AM91" s="2388"/>
      <c r="AN91" s="2388"/>
      <c r="AO91" s="250"/>
      <c r="AP91" s="2375"/>
      <c r="AQ91" s="2375"/>
      <c r="AR91" s="2375"/>
      <c r="AS91" s="2375"/>
      <c r="AT91" s="2375"/>
      <c r="AU91" s="2375"/>
      <c r="AV91" s="2375"/>
      <c r="AW91" s="2375"/>
      <c r="AX91" s="2375"/>
      <c r="AY91" s="2375"/>
      <c r="AZ91" s="2375"/>
      <c r="BA91" s="2375"/>
      <c r="BB91" s="2375"/>
      <c r="BC91" s="2375"/>
      <c r="BD91" s="2375"/>
      <c r="BE91" s="2375"/>
      <c r="BF91" s="2375"/>
      <c r="BG91" s="2375"/>
      <c r="BH91" s="2375"/>
      <c r="BI91" s="2375"/>
      <c r="BJ91" s="2375"/>
    </row>
    <row r="92" spans="1:62" ht="10.5" customHeight="1" x14ac:dyDescent="0.3">
      <c r="A92" s="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5"/>
      <c r="AG92" s="2388"/>
      <c r="AH92" s="2388"/>
      <c r="AI92" s="2388"/>
      <c r="AJ92" s="2388"/>
      <c r="AK92" s="2388"/>
      <c r="AL92" s="2388"/>
      <c r="AM92" s="2388"/>
      <c r="AN92" s="2388"/>
      <c r="AO92" s="250"/>
      <c r="AP92" s="2375"/>
      <c r="AQ92" s="2375"/>
      <c r="AR92" s="2375"/>
      <c r="AS92" s="2375"/>
      <c r="AT92" s="2375"/>
      <c r="AU92" s="2375"/>
      <c r="AV92" s="2375"/>
      <c r="AW92" s="2375"/>
      <c r="AX92" s="2375"/>
      <c r="AY92" s="2375"/>
      <c r="AZ92" s="2375"/>
      <c r="BA92" s="2375"/>
      <c r="BB92" s="2375"/>
      <c r="BC92" s="2375"/>
      <c r="BD92" s="2375"/>
      <c r="BE92" s="2375"/>
      <c r="BF92" s="2375"/>
      <c r="BG92" s="2375"/>
      <c r="BH92" s="2375"/>
      <c r="BI92" s="2375"/>
      <c r="BJ92" s="2375"/>
    </row>
    <row r="93" spans="1:62" ht="27.75" customHeight="1" x14ac:dyDescent="0.3">
      <c r="A93" s="5"/>
      <c r="B93" s="5"/>
      <c r="C93" s="5"/>
      <c r="D93" s="287"/>
      <c r="E93" s="287"/>
      <c r="F93" s="287"/>
      <c r="G93" s="288"/>
      <c r="H93" s="288"/>
      <c r="I93" s="288"/>
      <c r="J93" s="288"/>
      <c r="K93" s="288"/>
      <c r="L93" s="288"/>
      <c r="M93" s="288"/>
      <c r="N93" s="288"/>
      <c r="O93" s="239"/>
      <c r="P93" s="239"/>
      <c r="Q93" s="239"/>
      <c r="R93" s="239"/>
      <c r="S93" s="239"/>
      <c r="T93" s="239"/>
      <c r="U93" s="289"/>
      <c r="V93" s="289"/>
      <c r="W93" s="290"/>
      <c r="X93" s="290"/>
      <c r="Y93" s="290"/>
      <c r="Z93" s="290"/>
      <c r="AA93" s="290"/>
      <c r="AB93" s="290"/>
      <c r="AC93" s="290"/>
      <c r="AD93" s="290"/>
      <c r="AE93" s="5"/>
      <c r="AG93" s="2388"/>
      <c r="AH93" s="2388"/>
      <c r="AI93" s="2388"/>
      <c r="AJ93" s="2388"/>
      <c r="AK93" s="2388"/>
      <c r="AL93" s="2388"/>
      <c r="AM93" s="2388"/>
      <c r="AN93" s="2388"/>
      <c r="AO93" s="250"/>
      <c r="AP93" s="2375"/>
      <c r="AQ93" s="2375"/>
      <c r="AR93" s="2375"/>
      <c r="AS93" s="2375"/>
      <c r="AT93" s="2375"/>
      <c r="AU93" s="2375"/>
      <c r="AV93" s="2375"/>
      <c r="AW93" s="2375"/>
      <c r="AX93" s="2375"/>
      <c r="AY93" s="2375"/>
      <c r="AZ93" s="2375"/>
      <c r="BA93" s="2375"/>
      <c r="BB93" s="2375"/>
      <c r="BC93" s="2375"/>
      <c r="BD93" s="2375"/>
      <c r="BE93" s="2375"/>
      <c r="BF93" s="2375"/>
      <c r="BG93" s="2375"/>
      <c r="BH93" s="2375"/>
      <c r="BI93" s="2375"/>
      <c r="BJ93" s="2375"/>
    </row>
    <row r="94" spans="1:62" ht="10.5" customHeight="1" x14ac:dyDescent="0.3">
      <c r="A94" s="5"/>
      <c r="B94" s="245"/>
      <c r="C94" s="245"/>
      <c r="D94" s="291"/>
      <c r="E94" s="291"/>
      <c r="F94" s="291"/>
      <c r="G94" s="292"/>
      <c r="H94" s="292"/>
      <c r="I94" s="292"/>
      <c r="J94" s="292"/>
      <c r="K94" s="292"/>
      <c r="L94" s="292"/>
      <c r="M94" s="292"/>
      <c r="N94" s="292"/>
      <c r="O94" s="275"/>
      <c r="P94" s="275"/>
      <c r="Q94" s="275"/>
      <c r="R94" s="275"/>
      <c r="S94" s="275"/>
      <c r="T94" s="275"/>
      <c r="U94" s="293"/>
      <c r="V94" s="293"/>
      <c r="W94" s="294"/>
      <c r="X94" s="294"/>
      <c r="Y94" s="294"/>
      <c r="Z94" s="294"/>
      <c r="AA94" s="294"/>
      <c r="AB94" s="294"/>
      <c r="AC94" s="294"/>
      <c r="AD94" s="294"/>
      <c r="AE94" s="5"/>
      <c r="AG94" s="280"/>
      <c r="AH94" s="280"/>
      <c r="AI94" s="280"/>
      <c r="AJ94" s="280"/>
      <c r="AK94" s="280"/>
      <c r="AL94" s="280"/>
      <c r="AM94" s="280"/>
      <c r="AN94" s="280"/>
      <c r="AO94" s="250"/>
      <c r="AP94" s="279"/>
      <c r="AQ94" s="279"/>
      <c r="AR94" s="279"/>
      <c r="AS94" s="279"/>
      <c r="AT94" s="279"/>
      <c r="AU94" s="279"/>
      <c r="AV94" s="279"/>
      <c r="AW94" s="279"/>
      <c r="AX94" s="279"/>
      <c r="AY94" s="279"/>
      <c r="AZ94" s="279"/>
      <c r="BA94" s="279"/>
      <c r="BB94" s="279"/>
      <c r="BC94" s="279"/>
      <c r="BD94" s="279"/>
      <c r="BE94" s="279"/>
      <c r="BF94" s="279"/>
      <c r="BG94" s="279"/>
      <c r="BH94" s="279"/>
      <c r="BI94" s="279"/>
      <c r="BJ94" s="279"/>
    </row>
    <row r="95" spans="1:62" s="266" customFormat="1" ht="21" customHeight="1" x14ac:dyDescent="0.3">
      <c r="A95" s="166"/>
      <c r="B95" s="274"/>
      <c r="C95" s="2380" t="s">
        <v>31</v>
      </c>
      <c r="D95" s="2380"/>
      <c r="E95" s="2380" t="s">
        <v>0</v>
      </c>
      <c r="F95" s="2380"/>
      <c r="G95" s="2380"/>
      <c r="H95" s="296"/>
      <c r="I95" s="296"/>
      <c r="J95" s="296"/>
      <c r="K95" s="296"/>
      <c r="L95" s="296"/>
      <c r="M95" s="296"/>
      <c r="N95" s="296"/>
      <c r="O95" s="296"/>
      <c r="P95" s="297"/>
      <c r="Q95" s="297"/>
      <c r="R95" s="297"/>
      <c r="S95" s="297"/>
      <c r="T95" s="297"/>
      <c r="U95" s="297"/>
      <c r="V95" s="297"/>
      <c r="W95" s="297"/>
      <c r="X95" s="397"/>
      <c r="Y95" s="2381" t="s">
        <v>279</v>
      </c>
      <c r="Z95" s="2382"/>
      <c r="AA95" s="397"/>
      <c r="AB95" s="2381" t="s">
        <v>50</v>
      </c>
      <c r="AC95" s="2382"/>
      <c r="AD95" s="276"/>
      <c r="AE95" s="166"/>
      <c r="AG95" s="2379"/>
      <c r="AH95" s="2379"/>
      <c r="AI95" s="2379"/>
      <c r="AJ95" s="2379"/>
      <c r="AK95" s="2379"/>
      <c r="AL95" s="2379"/>
      <c r="AM95" s="2379"/>
      <c r="AN95" s="2379"/>
      <c r="AO95" s="278"/>
      <c r="AP95" s="2383"/>
      <c r="AQ95" s="2383"/>
      <c r="AR95" s="2383"/>
      <c r="AS95" s="2383"/>
      <c r="AT95" s="2383"/>
      <c r="AU95" s="2383"/>
      <c r="AV95" s="2383"/>
      <c r="AW95" s="2383"/>
      <c r="AX95" s="2383"/>
      <c r="AY95" s="2383"/>
      <c r="AZ95" s="2383"/>
      <c r="BA95" s="2383"/>
      <c r="BB95" s="2383"/>
      <c r="BC95" s="2383"/>
      <c r="BD95" s="2383"/>
      <c r="BE95" s="2383"/>
      <c r="BF95" s="2383"/>
      <c r="BG95" s="2383"/>
      <c r="BH95" s="2383"/>
      <c r="BI95" s="2383"/>
      <c r="BJ95" s="2383"/>
    </row>
    <row r="96" spans="1:62" s="266" customFormat="1" ht="15" customHeight="1" x14ac:dyDescent="0.3">
      <c r="A96" s="166"/>
      <c r="B96" s="274"/>
      <c r="C96" s="2400" t="str">
        <f>Admin!B4</f>
        <v>I</v>
      </c>
      <c r="D96" s="2400"/>
      <c r="E96" s="2419" t="str">
        <f>Admin!C4</f>
        <v>Strategic Suitability</v>
      </c>
      <c r="F96" s="2419"/>
      <c r="G96" s="2419"/>
      <c r="H96" s="2419"/>
      <c r="I96" s="2419"/>
      <c r="J96" s="2419"/>
      <c r="K96" s="2419"/>
      <c r="L96" s="2419"/>
      <c r="M96" s="2419"/>
      <c r="N96" s="2419"/>
      <c r="O96" s="2419"/>
      <c r="P96" s="2419"/>
      <c r="Q96" s="2419"/>
      <c r="R96" s="2419"/>
      <c r="S96" s="2419"/>
      <c r="T96" s="2419"/>
      <c r="U96" s="2419"/>
      <c r="V96" s="2419"/>
      <c r="W96" s="2419"/>
      <c r="X96" s="299"/>
      <c r="Y96" s="299"/>
      <c r="Z96" s="299">
        <f>Admin!F4</f>
        <v>0.1</v>
      </c>
      <c r="AA96" s="300"/>
      <c r="AB96" s="300"/>
      <c r="AC96" s="300">
        <f>Admin!L4</f>
        <v>5</v>
      </c>
      <c r="AD96" s="276"/>
      <c r="AE96" s="166"/>
      <c r="AG96" s="2379"/>
      <c r="AH96" s="2379"/>
      <c r="AI96" s="2379"/>
      <c r="AJ96" s="2379"/>
      <c r="AK96" s="2379"/>
      <c r="AL96" s="2379"/>
      <c r="AM96" s="2379"/>
      <c r="AN96" s="2379"/>
      <c r="AO96" s="278"/>
      <c r="AP96" s="2383"/>
      <c r="AQ96" s="2383"/>
      <c r="AR96" s="2383"/>
      <c r="AS96" s="2383"/>
      <c r="AT96" s="2383"/>
      <c r="AU96" s="2383"/>
      <c r="AV96" s="2383"/>
      <c r="AW96" s="2383"/>
      <c r="AX96" s="2383"/>
      <c r="AY96" s="2383"/>
      <c r="AZ96" s="2383"/>
      <c r="BA96" s="2383"/>
      <c r="BB96" s="2383"/>
      <c r="BC96" s="2383"/>
      <c r="BD96" s="2383"/>
      <c r="BE96" s="2383"/>
      <c r="BF96" s="2383"/>
      <c r="BG96" s="2383"/>
      <c r="BH96" s="2383"/>
      <c r="BI96" s="2383"/>
      <c r="BJ96" s="2383"/>
    </row>
    <row r="97" spans="1:62" s="266" customFormat="1" ht="15" customHeight="1" x14ac:dyDescent="0.3">
      <c r="A97" s="166"/>
      <c r="B97" s="274"/>
      <c r="C97" s="2362">
        <f>Admin!C5</f>
        <v>1</v>
      </c>
      <c r="D97" s="2362"/>
      <c r="E97" s="2376" t="str">
        <f>Admin!D5</f>
        <v>Alignment with government priorities</v>
      </c>
      <c r="F97" s="2376"/>
      <c r="G97" s="2376"/>
      <c r="H97" s="2376"/>
      <c r="I97" s="2376"/>
      <c r="J97" s="2376"/>
      <c r="K97" s="2376"/>
      <c r="L97" s="2376"/>
      <c r="M97" s="2376"/>
      <c r="N97" s="2376"/>
      <c r="O97" s="2376"/>
      <c r="P97" s="2376"/>
      <c r="Q97" s="2376"/>
      <c r="R97" s="2376"/>
      <c r="S97" s="2376"/>
      <c r="T97" s="2376"/>
      <c r="U97" s="2376"/>
      <c r="V97" s="2376"/>
      <c r="W97" s="2376"/>
      <c r="X97" s="310"/>
      <c r="Y97" s="298">
        <f>Admin!I5</f>
        <v>0.25</v>
      </c>
      <c r="Z97" s="311"/>
      <c r="AA97" s="310"/>
      <c r="AB97" s="312">
        <f>Admin!J5</f>
        <v>5</v>
      </c>
      <c r="AC97" s="312"/>
      <c r="AD97" s="276"/>
      <c r="AE97" s="166"/>
      <c r="AG97" s="2379"/>
      <c r="AH97" s="2379"/>
      <c r="AI97" s="2379"/>
      <c r="AJ97" s="2379"/>
      <c r="AK97" s="2379"/>
      <c r="AL97" s="2379"/>
      <c r="AM97" s="2379"/>
      <c r="AN97" s="2379"/>
      <c r="AO97" s="278"/>
      <c r="AP97" s="2384"/>
      <c r="AQ97" s="2384"/>
      <c r="AR97" s="2384"/>
      <c r="AS97" s="2384"/>
      <c r="AT97" s="2384"/>
      <c r="AU97" s="2384"/>
      <c r="AV97" s="2384"/>
      <c r="AW97" s="2384"/>
      <c r="AX97" s="2384"/>
      <c r="AY97" s="2384"/>
      <c r="AZ97" s="2384"/>
      <c r="BA97" s="2384"/>
      <c r="BB97" s="2384"/>
      <c r="BC97" s="2384"/>
      <c r="BD97" s="2384"/>
      <c r="BE97" s="2384"/>
      <c r="BF97" s="2384"/>
      <c r="BG97" s="2384"/>
      <c r="BH97" s="2384"/>
      <c r="BI97" s="2384"/>
      <c r="BJ97" s="2384"/>
    </row>
    <row r="98" spans="1:62" s="266" customFormat="1" ht="15" customHeight="1" x14ac:dyDescent="0.3">
      <c r="A98" s="166"/>
      <c r="B98" s="274"/>
      <c r="C98" s="2362">
        <f>Admin!C6</f>
        <v>2</v>
      </c>
      <c r="D98" s="2362"/>
      <c r="E98" s="2376" t="str">
        <f>Admin!D6</f>
        <v>Identification of service need</v>
      </c>
      <c r="F98" s="2376"/>
      <c r="G98" s="2376"/>
      <c r="H98" s="2376"/>
      <c r="I98" s="2376"/>
      <c r="J98" s="2376"/>
      <c r="K98" s="2376"/>
      <c r="L98" s="2376"/>
      <c r="M98" s="2376"/>
      <c r="N98" s="2376"/>
      <c r="O98" s="2376"/>
      <c r="P98" s="2376"/>
      <c r="Q98" s="2376"/>
      <c r="R98" s="2376"/>
      <c r="S98" s="2376"/>
      <c r="T98" s="2376"/>
      <c r="U98" s="2376"/>
      <c r="V98" s="2376"/>
      <c r="W98" s="2376"/>
      <c r="X98" s="310"/>
      <c r="Y98" s="298">
        <f>Admin!I6</f>
        <v>0.25</v>
      </c>
      <c r="Z98" s="311"/>
      <c r="AA98" s="310"/>
      <c r="AB98" s="312">
        <f>Admin!J6</f>
        <v>5</v>
      </c>
      <c r="AC98" s="312"/>
      <c r="AD98" s="276"/>
      <c r="AE98" s="166"/>
      <c r="AG98" s="2379"/>
      <c r="AH98" s="2379"/>
      <c r="AI98" s="2379"/>
      <c r="AJ98" s="2379"/>
      <c r="AK98" s="2379"/>
      <c r="AL98" s="2379"/>
      <c r="AM98" s="2379"/>
      <c r="AN98" s="2379"/>
      <c r="AO98" s="278"/>
      <c r="AP98" s="278"/>
      <c r="AQ98" s="278"/>
      <c r="AR98" s="278"/>
      <c r="AS98" s="278"/>
      <c r="AT98" s="278"/>
      <c r="AU98" s="278"/>
      <c r="AV98" s="278"/>
      <c r="AW98" s="278"/>
      <c r="AX98" s="278"/>
      <c r="AY98" s="278"/>
      <c r="AZ98" s="278"/>
      <c r="BA98" s="278"/>
      <c r="BB98" s="278"/>
      <c r="BC98" s="278"/>
      <c r="BD98" s="278"/>
      <c r="BE98" s="278"/>
      <c r="BF98" s="278"/>
      <c r="BG98" s="278"/>
      <c r="BH98" s="278"/>
      <c r="BI98" s="278"/>
      <c r="BJ98" s="278"/>
    </row>
    <row r="99" spans="1:62" s="266" customFormat="1" ht="15" customHeight="1" x14ac:dyDescent="0.3">
      <c r="A99" s="166"/>
      <c r="B99" s="274"/>
      <c r="C99" s="2362">
        <f>Admin!C7</f>
        <v>3</v>
      </c>
      <c r="D99" s="2362"/>
      <c r="E99" s="2376" t="str">
        <f>Admin!D7</f>
        <v>Assessment of service delivery options</v>
      </c>
      <c r="F99" s="2376"/>
      <c r="G99" s="2376"/>
      <c r="H99" s="2376"/>
      <c r="I99" s="2376"/>
      <c r="J99" s="2376"/>
      <c r="K99" s="2376"/>
      <c r="L99" s="2376"/>
      <c r="M99" s="2376"/>
      <c r="N99" s="2376"/>
      <c r="O99" s="2376"/>
      <c r="P99" s="2376"/>
      <c r="Q99" s="2376"/>
      <c r="R99" s="2376"/>
      <c r="S99" s="2376"/>
      <c r="T99" s="2376"/>
      <c r="U99" s="2376"/>
      <c r="V99" s="2376"/>
      <c r="W99" s="2376"/>
      <c r="X99" s="310"/>
      <c r="Y99" s="298">
        <f>Admin!I7</f>
        <v>0.25</v>
      </c>
      <c r="Z99" s="311"/>
      <c r="AA99" s="310"/>
      <c r="AB99" s="312">
        <f>Admin!J7</f>
        <v>5</v>
      </c>
      <c r="AC99" s="312"/>
      <c r="AD99" s="276"/>
      <c r="AE99" s="166"/>
      <c r="AG99" s="2379"/>
      <c r="AH99" s="2379"/>
      <c r="AI99" s="2379"/>
      <c r="AJ99" s="2379"/>
      <c r="AK99" s="2379"/>
      <c r="AL99" s="2379"/>
      <c r="AM99" s="2379"/>
      <c r="AN99" s="2379"/>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row>
    <row r="100" spans="1:62" s="266" customFormat="1" ht="15" customHeight="1" x14ac:dyDescent="0.3">
      <c r="A100" s="166"/>
      <c r="B100" s="274"/>
      <c r="C100" s="2362">
        <f>Admin!C8</f>
        <v>4</v>
      </c>
      <c r="D100" s="2362"/>
      <c r="E100" s="2376" t="str">
        <f>Admin!D8</f>
        <v>Scoping of the project</v>
      </c>
      <c r="F100" s="2376"/>
      <c r="G100" s="2376"/>
      <c r="H100" s="2376"/>
      <c r="I100" s="2376"/>
      <c r="J100" s="2376"/>
      <c r="K100" s="2376"/>
      <c r="L100" s="2376"/>
      <c r="M100" s="2376"/>
      <c r="N100" s="2376"/>
      <c r="O100" s="2376"/>
      <c r="P100" s="2376"/>
      <c r="Q100" s="2376"/>
      <c r="R100" s="2376"/>
      <c r="S100" s="2376"/>
      <c r="T100" s="2376"/>
      <c r="U100" s="2376"/>
      <c r="V100" s="2376"/>
      <c r="W100" s="2376"/>
      <c r="X100" s="310"/>
      <c r="Y100" s="298">
        <f>Admin!I8</f>
        <v>0.25</v>
      </c>
      <c r="Z100" s="298"/>
      <c r="AA100" s="310"/>
      <c r="AB100" s="312">
        <f>Admin!J8</f>
        <v>5</v>
      </c>
      <c r="AC100" s="312"/>
      <c r="AD100" s="276"/>
      <c r="AE100" s="166"/>
      <c r="AG100" s="2379"/>
      <c r="AH100" s="2379"/>
      <c r="AI100" s="2379"/>
      <c r="AJ100" s="2379"/>
      <c r="AK100" s="2379"/>
      <c r="AL100" s="2379"/>
      <c r="AM100" s="2379"/>
      <c r="AN100" s="2379"/>
      <c r="AO100" s="278"/>
      <c r="AP100" s="278"/>
      <c r="AQ100" s="278"/>
      <c r="AR100" s="278"/>
      <c r="AS100" s="278"/>
      <c r="AT100" s="278"/>
      <c r="AU100" s="278"/>
      <c r="AV100" s="278"/>
      <c r="AW100" s="278"/>
      <c r="AX100" s="278"/>
      <c r="AY100" s="278"/>
      <c r="AZ100" s="278"/>
      <c r="BA100" s="278"/>
      <c r="BB100" s="278"/>
      <c r="BC100" s="278"/>
      <c r="BD100" s="278"/>
      <c r="BE100" s="278"/>
      <c r="BF100" s="278"/>
      <c r="BG100" s="278"/>
      <c r="BH100" s="278"/>
      <c r="BI100" s="278"/>
      <c r="BJ100" s="278"/>
    </row>
    <row r="101" spans="1:62" s="266" customFormat="1" ht="15" customHeight="1" x14ac:dyDescent="0.3">
      <c r="A101" s="166"/>
      <c r="B101" s="274"/>
      <c r="C101" s="2399" t="str">
        <f>Admin!B9</f>
        <v>II</v>
      </c>
      <c r="D101" s="2399"/>
      <c r="E101" s="2398" t="str">
        <f>Admin!C9</f>
        <v>Preliminary Feasibility</v>
      </c>
      <c r="F101" s="2398"/>
      <c r="G101" s="2398"/>
      <c r="H101" s="2398"/>
      <c r="I101" s="2398"/>
      <c r="J101" s="2398"/>
      <c r="K101" s="2398"/>
      <c r="L101" s="2398"/>
      <c r="M101" s="2398"/>
      <c r="N101" s="2398"/>
      <c r="O101" s="2398"/>
      <c r="P101" s="2398"/>
      <c r="Q101" s="2398"/>
      <c r="R101" s="2398"/>
      <c r="S101" s="2398"/>
      <c r="T101" s="2398"/>
      <c r="U101" s="2398"/>
      <c r="V101" s="2398"/>
      <c r="W101" s="2398"/>
      <c r="X101" s="301"/>
      <c r="Y101" s="301"/>
      <c r="Z101" s="301">
        <f>Admin!F9</f>
        <v>0.3</v>
      </c>
      <c r="AA101" s="301"/>
      <c r="AB101" s="301"/>
      <c r="AC101" s="396">
        <f ca="1">Admin!L9</f>
        <v>5</v>
      </c>
      <c r="AD101" s="101"/>
      <c r="AE101" s="166"/>
      <c r="AG101" s="2379"/>
      <c r="AH101" s="2379"/>
      <c r="AI101" s="2379"/>
      <c r="AJ101" s="2379"/>
      <c r="AK101" s="2379"/>
      <c r="AL101" s="2379"/>
      <c r="AM101" s="2379"/>
      <c r="AN101" s="2379"/>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row>
    <row r="102" spans="1:62" s="266" customFormat="1" ht="15" customHeight="1" x14ac:dyDescent="0.3">
      <c r="A102" s="166"/>
      <c r="B102" s="274"/>
      <c r="C102" s="2362">
        <f>Admin!C10</f>
        <v>1</v>
      </c>
      <c r="D102" s="2362"/>
      <c r="E102" s="2376" t="str">
        <f>Admin!D10</f>
        <v>Technical Prefeasibility</v>
      </c>
      <c r="F102" s="2376"/>
      <c r="G102" s="2376"/>
      <c r="H102" s="2376"/>
      <c r="I102" s="2376"/>
      <c r="J102" s="2376"/>
      <c r="K102" s="2376"/>
      <c r="L102" s="2376"/>
      <c r="M102" s="2376"/>
      <c r="N102" s="2376"/>
      <c r="O102" s="2376"/>
      <c r="P102" s="2376"/>
      <c r="Q102" s="2376"/>
      <c r="R102" s="2376"/>
      <c r="S102" s="2376"/>
      <c r="T102" s="2376"/>
      <c r="U102" s="2376"/>
      <c r="V102" s="2376"/>
      <c r="W102" s="2376"/>
      <c r="X102" s="310"/>
      <c r="Y102" s="298">
        <f>Admin!I10</f>
        <v>0.2</v>
      </c>
      <c r="Z102" s="298"/>
      <c r="AA102" s="310"/>
      <c r="AB102" s="312">
        <f>Admin!J10</f>
        <v>5</v>
      </c>
      <c r="AC102" s="312"/>
      <c r="AD102" s="101"/>
      <c r="AE102" s="166"/>
      <c r="AG102" s="2379"/>
      <c r="AH102" s="2379"/>
      <c r="AI102" s="2379"/>
      <c r="AJ102" s="2379"/>
      <c r="AK102" s="2379"/>
      <c r="AL102" s="2379"/>
      <c r="AM102" s="2379"/>
      <c r="AN102" s="2379"/>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row>
    <row r="103" spans="1:62" s="266" customFormat="1" ht="15" customHeight="1" x14ac:dyDescent="0.3">
      <c r="A103" s="166"/>
      <c r="B103" s="274"/>
      <c r="C103" s="2362">
        <f>Admin!C11</f>
        <v>2</v>
      </c>
      <c r="D103" s="2362"/>
      <c r="E103" s="2376" t="str">
        <f>Admin!D11</f>
        <v>Environmental Sustainability</v>
      </c>
      <c r="F103" s="2376"/>
      <c r="G103" s="2376"/>
      <c r="H103" s="2376"/>
      <c r="I103" s="2376"/>
      <c r="J103" s="2376"/>
      <c r="K103" s="2376"/>
      <c r="L103" s="2376"/>
      <c r="M103" s="2376"/>
      <c r="N103" s="2376"/>
      <c r="O103" s="2376"/>
      <c r="P103" s="2376"/>
      <c r="Q103" s="2376"/>
      <c r="R103" s="2376"/>
      <c r="S103" s="2376"/>
      <c r="T103" s="2376"/>
      <c r="U103" s="2376"/>
      <c r="V103" s="2376"/>
      <c r="W103" s="2376"/>
      <c r="X103" s="310"/>
      <c r="Y103" s="298">
        <f>Admin!I11</f>
        <v>0.1</v>
      </c>
      <c r="Z103" s="298"/>
      <c r="AA103" s="310"/>
      <c r="AB103" s="312">
        <f>Admin!J11</f>
        <v>5</v>
      </c>
      <c r="AC103" s="312"/>
      <c r="AD103" s="101"/>
      <c r="AE103" s="166"/>
      <c r="AG103" s="2379"/>
      <c r="AH103" s="2379"/>
      <c r="AI103" s="2379"/>
      <c r="AJ103" s="2379"/>
      <c r="AK103" s="2379"/>
      <c r="AL103" s="2379"/>
      <c r="AM103" s="2379"/>
      <c r="AN103" s="2379"/>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278"/>
      <c r="BJ103" s="278"/>
    </row>
    <row r="104" spans="1:62" s="266" customFormat="1" ht="15" customHeight="1" x14ac:dyDescent="0.3">
      <c r="A104" s="166"/>
      <c r="B104" s="274"/>
      <c r="C104" s="2362">
        <f>Admin!C12</f>
        <v>3</v>
      </c>
      <c r="D104" s="2362"/>
      <c r="E104" s="2376" t="str">
        <f>Admin!D12</f>
        <v>Social Sustainability</v>
      </c>
      <c r="F104" s="2376"/>
      <c r="G104" s="2376"/>
      <c r="H104" s="2376"/>
      <c r="I104" s="2376"/>
      <c r="J104" s="2376"/>
      <c r="K104" s="2376"/>
      <c r="L104" s="2376"/>
      <c r="M104" s="2376"/>
      <c r="N104" s="2376"/>
      <c r="O104" s="2376"/>
      <c r="P104" s="2376"/>
      <c r="Q104" s="2376"/>
      <c r="R104" s="2376"/>
      <c r="S104" s="2376"/>
      <c r="T104" s="2376"/>
      <c r="U104" s="2376"/>
      <c r="V104" s="2376"/>
      <c r="W104" s="2376"/>
      <c r="X104" s="310"/>
      <c r="Y104" s="298">
        <f>Admin!I12</f>
        <v>0.1</v>
      </c>
      <c r="Z104" s="298"/>
      <c r="AA104" s="310"/>
      <c r="AB104" s="312">
        <f>Admin!J12</f>
        <v>5</v>
      </c>
      <c r="AC104" s="312"/>
      <c r="AD104" s="101"/>
      <c r="AE104" s="166"/>
      <c r="AG104" s="2379"/>
      <c r="AH104" s="2379"/>
      <c r="AI104" s="2379"/>
      <c r="AJ104" s="2379"/>
      <c r="AK104" s="2379"/>
      <c r="AL104" s="2379"/>
      <c r="AM104" s="2379"/>
      <c r="AN104" s="2379"/>
      <c r="AO104" s="278"/>
      <c r="AP104" s="278"/>
      <c r="AQ104" s="278"/>
      <c r="AR104" s="278"/>
      <c r="AS104" s="278"/>
      <c r="AT104" s="278"/>
      <c r="AU104" s="278"/>
      <c r="AV104" s="278"/>
      <c r="AW104" s="278"/>
      <c r="AX104" s="278"/>
      <c r="AY104" s="278"/>
      <c r="AZ104" s="278"/>
      <c r="BA104" s="278"/>
      <c r="BB104" s="278"/>
      <c r="BC104" s="278"/>
      <c r="BD104" s="278"/>
      <c r="BE104" s="278"/>
      <c r="BF104" s="278"/>
      <c r="BG104" s="278"/>
      <c r="BH104" s="278"/>
      <c r="BI104" s="278"/>
      <c r="BJ104" s="278"/>
    </row>
    <row r="105" spans="1:62" s="266" customFormat="1" ht="15" customHeight="1" x14ac:dyDescent="0.3">
      <c r="A105" s="166"/>
      <c r="B105" s="274"/>
      <c r="C105" s="2362">
        <f>Admin!C13</f>
        <v>4</v>
      </c>
      <c r="D105" s="2362"/>
      <c r="E105" s="2376" t="str">
        <f>Admin!D13</f>
        <v>Economic Prefeasibility</v>
      </c>
      <c r="F105" s="2376"/>
      <c r="G105" s="2376"/>
      <c r="H105" s="2376"/>
      <c r="I105" s="2376"/>
      <c r="J105" s="2376"/>
      <c r="K105" s="2376"/>
      <c r="L105" s="2376"/>
      <c r="M105" s="2376"/>
      <c r="N105" s="2376"/>
      <c r="O105" s="2376"/>
      <c r="P105" s="2376"/>
      <c r="Q105" s="2376"/>
      <c r="R105" s="2376"/>
      <c r="S105" s="2376"/>
      <c r="T105" s="2376"/>
      <c r="U105" s="2376"/>
      <c r="V105" s="2376"/>
      <c r="W105" s="2376"/>
      <c r="X105" s="310"/>
      <c r="Y105" s="298">
        <f>Admin!I13</f>
        <v>0.1</v>
      </c>
      <c r="Z105" s="298"/>
      <c r="AA105" s="310"/>
      <c r="AB105" s="312">
        <f>Admin!J13</f>
        <v>5</v>
      </c>
      <c r="AC105" s="312"/>
      <c r="AD105" s="101"/>
      <c r="AE105" s="166"/>
      <c r="AG105" s="2379"/>
      <c r="AH105" s="2379"/>
      <c r="AI105" s="2379"/>
      <c r="AJ105" s="2379"/>
      <c r="AK105" s="2379"/>
      <c r="AL105" s="2379"/>
      <c r="AM105" s="2379"/>
      <c r="AN105" s="2379"/>
      <c r="AO105" s="278"/>
      <c r="AP105" s="278"/>
      <c r="AQ105" s="278"/>
      <c r="AR105" s="278"/>
      <c r="AS105" s="278"/>
      <c r="AT105" s="278"/>
      <c r="AU105" s="278"/>
      <c r="AV105" s="278"/>
      <c r="AW105" s="278"/>
      <c r="AX105" s="278"/>
      <c r="AY105" s="278"/>
      <c r="AZ105" s="278"/>
      <c r="BA105" s="278"/>
      <c r="BB105" s="278"/>
      <c r="BC105" s="278"/>
      <c r="BD105" s="278"/>
      <c r="BE105" s="278"/>
      <c r="BF105" s="278"/>
      <c r="BG105" s="278"/>
      <c r="BH105" s="278"/>
      <c r="BI105" s="278"/>
      <c r="BJ105" s="278"/>
    </row>
    <row r="106" spans="1:62" s="266" customFormat="1" ht="15" customHeight="1" x14ac:dyDescent="0.3">
      <c r="A106" s="166"/>
      <c r="B106" s="274"/>
      <c r="C106" s="2362">
        <f>Admin!C14</f>
        <v>5</v>
      </c>
      <c r="D106" s="2362"/>
      <c r="E106" s="2376" t="str">
        <f>Admin!D14</f>
        <v>Financial Prefeasibility</v>
      </c>
      <c r="F106" s="2376"/>
      <c r="G106" s="2376"/>
      <c r="H106" s="2376"/>
      <c r="I106" s="2376"/>
      <c r="J106" s="2376"/>
      <c r="K106" s="2376"/>
      <c r="L106" s="2376"/>
      <c r="M106" s="2376"/>
      <c r="N106" s="2376"/>
      <c r="O106" s="2376"/>
      <c r="P106" s="2376"/>
      <c r="Q106" s="2376"/>
      <c r="R106" s="2376"/>
      <c r="S106" s="2376"/>
      <c r="T106" s="2376"/>
      <c r="U106" s="2376"/>
      <c r="V106" s="2376"/>
      <c r="W106" s="2376"/>
      <c r="X106" s="310"/>
      <c r="Y106" s="298">
        <f>Admin!I14</f>
        <v>0.3</v>
      </c>
      <c r="Z106" s="298"/>
      <c r="AA106" s="310"/>
      <c r="AB106" s="312">
        <f ca="1">Admin!J14</f>
        <v>4.9999999999999991</v>
      </c>
      <c r="AC106" s="312"/>
      <c r="AD106" s="101"/>
      <c r="AE106" s="166"/>
      <c r="AG106" s="2379"/>
      <c r="AH106" s="2379"/>
      <c r="AI106" s="2379"/>
      <c r="AJ106" s="2379"/>
      <c r="AK106" s="2379"/>
      <c r="AL106" s="2379"/>
      <c r="AM106" s="2379"/>
      <c r="AN106" s="2379"/>
      <c r="AO106" s="278"/>
      <c r="AP106" s="278"/>
      <c r="AQ106" s="278"/>
      <c r="AR106" s="278"/>
      <c r="AS106" s="278"/>
      <c r="AT106" s="278"/>
      <c r="AU106" s="278"/>
      <c r="AV106" s="278"/>
      <c r="AW106" s="278"/>
      <c r="AX106" s="278"/>
      <c r="AY106" s="278"/>
      <c r="AZ106" s="278"/>
      <c r="BA106" s="278"/>
      <c r="BB106" s="278"/>
      <c r="BC106" s="278"/>
      <c r="BD106" s="278"/>
      <c r="BE106" s="278"/>
      <c r="BF106" s="278"/>
      <c r="BG106" s="278"/>
      <c r="BH106" s="278"/>
      <c r="BI106" s="278"/>
      <c r="BJ106" s="278"/>
    </row>
    <row r="107" spans="1:62" s="266" customFormat="1" ht="15" customHeight="1" x14ac:dyDescent="0.3">
      <c r="A107" s="166"/>
      <c r="B107" s="274"/>
      <c r="C107" s="2362">
        <f>Admin!C15</f>
        <v>6</v>
      </c>
      <c r="D107" s="2362"/>
      <c r="E107" s="2376" t="str">
        <f>Admin!D15</f>
        <v>Legal Prefeasibility</v>
      </c>
      <c r="F107" s="2376"/>
      <c r="G107" s="2376"/>
      <c r="H107" s="2376"/>
      <c r="I107" s="2376"/>
      <c r="J107" s="2376"/>
      <c r="K107" s="2376"/>
      <c r="L107" s="2376"/>
      <c r="M107" s="2376"/>
      <c r="N107" s="2376"/>
      <c r="O107" s="2376"/>
      <c r="P107" s="2376"/>
      <c r="Q107" s="2376"/>
      <c r="R107" s="2376"/>
      <c r="S107" s="2376"/>
      <c r="T107" s="2376"/>
      <c r="U107" s="2376"/>
      <c r="V107" s="2376"/>
      <c r="W107" s="2376"/>
      <c r="X107" s="310"/>
      <c r="Y107" s="298">
        <f>Admin!I15</f>
        <v>0.2</v>
      </c>
      <c r="Z107" s="298"/>
      <c r="AA107" s="310"/>
      <c r="AB107" s="312">
        <f>Admin!J15</f>
        <v>5</v>
      </c>
      <c r="AC107" s="312"/>
      <c r="AD107" s="101"/>
      <c r="AE107" s="166"/>
      <c r="AG107" s="2379"/>
      <c r="AH107" s="2379"/>
      <c r="AI107" s="2379"/>
      <c r="AJ107" s="2379"/>
      <c r="AK107" s="2379"/>
      <c r="AL107" s="2379"/>
      <c r="AM107" s="2379"/>
      <c r="AN107" s="2379"/>
      <c r="AO107" s="278"/>
      <c r="AP107" s="278"/>
      <c r="AQ107" s="278"/>
      <c r="AR107" s="278"/>
      <c r="AS107" s="278"/>
      <c r="AT107" s="278"/>
      <c r="AU107" s="278"/>
      <c r="AV107" s="278"/>
      <c r="AW107" s="278"/>
      <c r="AX107" s="278"/>
      <c r="AY107" s="278"/>
      <c r="AZ107" s="278"/>
      <c r="BA107" s="278"/>
      <c r="BB107" s="278"/>
      <c r="BC107" s="278"/>
      <c r="BD107" s="278"/>
      <c r="BE107" s="278"/>
      <c r="BF107" s="278"/>
      <c r="BG107" s="278"/>
      <c r="BH107" s="278"/>
      <c r="BI107" s="278"/>
      <c r="BJ107" s="278"/>
    </row>
    <row r="108" spans="1:62" s="266" customFormat="1" ht="15" customHeight="1" x14ac:dyDescent="0.3">
      <c r="A108" s="166"/>
      <c r="B108" s="274"/>
      <c r="C108" s="2393" t="str">
        <f>Admin!B16</f>
        <v>III</v>
      </c>
      <c r="D108" s="2393"/>
      <c r="E108" s="2377" t="str">
        <f>Admin!C16</f>
        <v>Risk Assessment</v>
      </c>
      <c r="F108" s="2377"/>
      <c r="G108" s="2377"/>
      <c r="H108" s="2377"/>
      <c r="I108" s="2377"/>
      <c r="J108" s="2377"/>
      <c r="K108" s="2377"/>
      <c r="L108" s="2377"/>
      <c r="M108" s="2377"/>
      <c r="N108" s="2377"/>
      <c r="O108" s="2377"/>
      <c r="P108" s="2377"/>
      <c r="Q108" s="2377"/>
      <c r="R108" s="2377"/>
      <c r="S108" s="2377"/>
      <c r="T108" s="2377"/>
      <c r="U108" s="2377"/>
      <c r="V108" s="2377"/>
      <c r="W108" s="2377"/>
      <c r="X108" s="394"/>
      <c r="Y108" s="302"/>
      <c r="Z108" s="302">
        <f>Admin!F16</f>
        <v>0.2</v>
      </c>
      <c r="AA108" s="394"/>
      <c r="AB108" s="395"/>
      <c r="AC108" s="303">
        <f>Admin!L16</f>
        <v>5</v>
      </c>
      <c r="AD108" s="101"/>
      <c r="AE108" s="166"/>
      <c r="AG108" s="2379"/>
      <c r="AH108" s="2379"/>
      <c r="AI108" s="2379"/>
      <c r="AJ108" s="2379"/>
      <c r="AK108" s="2379"/>
      <c r="AL108" s="2379"/>
      <c r="AM108" s="2379"/>
      <c r="AN108" s="2379"/>
      <c r="AO108" s="278"/>
      <c r="AP108" s="278"/>
      <c r="AQ108" s="278"/>
      <c r="AR108" s="278"/>
      <c r="AS108" s="278"/>
      <c r="AT108" s="278"/>
      <c r="AU108" s="278"/>
      <c r="AV108" s="278"/>
      <c r="AW108" s="278"/>
      <c r="AX108" s="278"/>
      <c r="AY108" s="278"/>
      <c r="AZ108" s="278"/>
      <c r="BA108" s="278"/>
      <c r="BB108" s="278"/>
      <c r="BC108" s="278"/>
      <c r="BD108" s="278"/>
      <c r="BE108" s="278"/>
      <c r="BF108" s="278"/>
      <c r="BG108" s="278"/>
      <c r="BH108" s="278"/>
      <c r="BI108" s="278"/>
      <c r="BJ108" s="278"/>
    </row>
    <row r="109" spans="1:62" s="266" customFormat="1" ht="15" customHeight="1" x14ac:dyDescent="0.3">
      <c r="A109" s="166"/>
      <c r="B109" s="274"/>
      <c r="C109" s="2362">
        <f>Admin!C17</f>
        <v>1</v>
      </c>
      <c r="D109" s="2362"/>
      <c r="E109" s="2378" t="str">
        <f>Admin!D17</f>
        <v>Risk of delay in land acquisition</v>
      </c>
      <c r="F109" s="2378"/>
      <c r="G109" s="2378"/>
      <c r="H109" s="2378"/>
      <c r="I109" s="2378"/>
      <c r="J109" s="2378"/>
      <c r="K109" s="2378"/>
      <c r="L109" s="2378"/>
      <c r="M109" s="2378"/>
      <c r="N109" s="2378"/>
      <c r="O109" s="2378"/>
      <c r="P109" s="2378"/>
      <c r="Q109" s="2378"/>
      <c r="R109" s="2378"/>
      <c r="S109" s="2378"/>
      <c r="T109" s="2378"/>
      <c r="U109" s="2378"/>
      <c r="V109" s="2378"/>
      <c r="W109" s="2378"/>
      <c r="X109" s="310"/>
      <c r="Y109" s="298">
        <f>Admin!I17</f>
        <v>0.125</v>
      </c>
      <c r="Z109" s="298"/>
      <c r="AA109" s="310"/>
      <c r="AB109" s="312">
        <f>Admin!J17</f>
        <v>4.9999999999999991</v>
      </c>
      <c r="AC109" s="312"/>
      <c r="AD109" s="101"/>
      <c r="AE109" s="166"/>
      <c r="AG109" s="2379"/>
      <c r="AH109" s="2379"/>
      <c r="AI109" s="2379"/>
      <c r="AJ109" s="2379"/>
      <c r="AK109" s="2379"/>
      <c r="AL109" s="2379"/>
      <c r="AM109" s="2379"/>
      <c r="AN109" s="2379"/>
      <c r="AO109" s="278"/>
      <c r="AP109" s="278"/>
      <c r="AQ109" s="278"/>
      <c r="AR109" s="278"/>
      <c r="AS109" s="278"/>
      <c r="AT109" s="278"/>
      <c r="AU109" s="278"/>
      <c r="AV109" s="278"/>
      <c r="AW109" s="278"/>
      <c r="AX109" s="278"/>
      <c r="AY109" s="278"/>
      <c r="AZ109" s="278"/>
      <c r="BA109" s="278"/>
      <c r="BB109" s="278"/>
      <c r="BC109" s="278"/>
      <c r="BD109" s="278"/>
      <c r="BE109" s="278"/>
      <c r="BF109" s="278"/>
      <c r="BG109" s="278"/>
      <c r="BH109" s="278"/>
      <c r="BI109" s="278"/>
      <c r="BJ109" s="278"/>
    </row>
    <row r="110" spans="1:62" s="266" customFormat="1" ht="15" customHeight="1" x14ac:dyDescent="0.3">
      <c r="A110" s="166"/>
      <c r="B110" s="274"/>
      <c r="C110" s="2362">
        <f>Admin!C18</f>
        <v>2</v>
      </c>
      <c r="D110" s="2362"/>
      <c r="E110" s="2378" t="str">
        <f>Admin!D18</f>
        <v>Financing Risk</v>
      </c>
      <c r="F110" s="2378"/>
      <c r="G110" s="2378"/>
      <c r="H110" s="2378"/>
      <c r="I110" s="2378"/>
      <c r="J110" s="2378"/>
      <c r="K110" s="2378"/>
      <c r="L110" s="2378"/>
      <c r="M110" s="2378"/>
      <c r="N110" s="2378"/>
      <c r="O110" s="2378"/>
      <c r="P110" s="2378"/>
      <c r="Q110" s="2378"/>
      <c r="R110" s="2378"/>
      <c r="S110" s="2378"/>
      <c r="T110" s="2378"/>
      <c r="U110" s="2378"/>
      <c r="V110" s="2378"/>
      <c r="W110" s="2378"/>
      <c r="X110" s="310"/>
      <c r="Y110" s="298">
        <f>Admin!I18</f>
        <v>0.125</v>
      </c>
      <c r="Z110" s="298"/>
      <c r="AA110" s="310"/>
      <c r="AB110" s="312">
        <f>Admin!J18</f>
        <v>5</v>
      </c>
      <c r="AC110" s="312"/>
      <c r="AD110" s="101"/>
      <c r="AE110" s="166"/>
    </row>
    <row r="111" spans="1:62" s="266" customFormat="1" ht="15" customHeight="1" x14ac:dyDescent="0.3">
      <c r="A111" s="166"/>
      <c r="B111" s="274"/>
      <c r="C111" s="2362">
        <f>Admin!C19</f>
        <v>3</v>
      </c>
      <c r="D111" s="2362"/>
      <c r="E111" s="2378" t="str">
        <f>Admin!D19</f>
        <v xml:space="preserve">Design and Construction Risk </v>
      </c>
      <c r="F111" s="2378"/>
      <c r="G111" s="2378"/>
      <c r="H111" s="2378"/>
      <c r="I111" s="2378"/>
      <c r="J111" s="2378"/>
      <c r="K111" s="2378"/>
      <c r="L111" s="2378"/>
      <c r="M111" s="2378"/>
      <c r="N111" s="2378"/>
      <c r="O111" s="2378"/>
      <c r="P111" s="2378"/>
      <c r="Q111" s="2378"/>
      <c r="R111" s="2378"/>
      <c r="S111" s="2378"/>
      <c r="T111" s="2378"/>
      <c r="U111" s="2378"/>
      <c r="V111" s="2378"/>
      <c r="W111" s="2378"/>
      <c r="X111" s="310"/>
      <c r="Y111" s="298">
        <f>Admin!I19</f>
        <v>0.125</v>
      </c>
      <c r="Z111" s="298"/>
      <c r="AA111" s="310"/>
      <c r="AB111" s="312">
        <f>Admin!J19</f>
        <v>4.9999999999999991</v>
      </c>
      <c r="AC111" s="312"/>
      <c r="AD111" s="101"/>
      <c r="AE111" s="166"/>
    </row>
    <row r="112" spans="1:62" s="266" customFormat="1" ht="15" customHeight="1" x14ac:dyDescent="0.3">
      <c r="A112" s="166"/>
      <c r="B112" s="274"/>
      <c r="C112" s="2362">
        <f>Admin!C20</f>
        <v>4</v>
      </c>
      <c r="D112" s="2362"/>
      <c r="E112" s="2378" t="str">
        <f>Admin!D20</f>
        <v>Operations and Maintenance Risk</v>
      </c>
      <c r="F112" s="2378"/>
      <c r="G112" s="2378"/>
      <c r="H112" s="2378"/>
      <c r="I112" s="2378"/>
      <c r="J112" s="2378"/>
      <c r="K112" s="2378"/>
      <c r="L112" s="2378"/>
      <c r="M112" s="2378"/>
      <c r="N112" s="2378"/>
      <c r="O112" s="2378"/>
      <c r="P112" s="2378"/>
      <c r="Q112" s="2378"/>
      <c r="R112" s="2378"/>
      <c r="S112" s="2378"/>
      <c r="T112" s="2378"/>
      <c r="U112" s="2378"/>
      <c r="V112" s="2378"/>
      <c r="W112" s="2378"/>
      <c r="X112" s="310"/>
      <c r="Y112" s="298">
        <f>Admin!I20</f>
        <v>0.125</v>
      </c>
      <c r="Z112" s="298"/>
      <c r="AA112" s="310"/>
      <c r="AB112" s="312">
        <f>Admin!J20</f>
        <v>5</v>
      </c>
      <c r="AC112" s="312"/>
      <c r="AD112" s="101"/>
      <c r="AE112" s="166"/>
    </row>
    <row r="113" spans="1:31" s="266" customFormat="1" ht="15" customHeight="1" x14ac:dyDescent="0.3">
      <c r="A113" s="166"/>
      <c r="B113" s="274"/>
      <c r="C113" s="2362">
        <f>Admin!C21</f>
        <v>5</v>
      </c>
      <c r="D113" s="2362"/>
      <c r="E113" s="2378" t="str">
        <f>Admin!D21</f>
        <v>Market Risk and Demand Risk</v>
      </c>
      <c r="F113" s="2378"/>
      <c r="G113" s="2378"/>
      <c r="H113" s="2378"/>
      <c r="I113" s="2378"/>
      <c r="J113" s="2378"/>
      <c r="K113" s="2378"/>
      <c r="L113" s="2378"/>
      <c r="M113" s="2378"/>
      <c r="N113" s="2378"/>
      <c r="O113" s="2378"/>
      <c r="P113" s="2378"/>
      <c r="Q113" s="2378"/>
      <c r="R113" s="2378"/>
      <c r="S113" s="2378"/>
      <c r="T113" s="2378"/>
      <c r="U113" s="2378"/>
      <c r="V113" s="2378"/>
      <c r="W113" s="2378"/>
      <c r="X113" s="310"/>
      <c r="Y113" s="298">
        <f>Admin!I21</f>
        <v>0.125</v>
      </c>
      <c r="Z113" s="298"/>
      <c r="AA113" s="310"/>
      <c r="AB113" s="312">
        <f>Admin!J21</f>
        <v>4.9999999999999991</v>
      </c>
      <c r="AC113" s="312"/>
      <c r="AD113" s="101"/>
      <c r="AE113" s="166"/>
    </row>
    <row r="114" spans="1:31" s="266" customFormat="1" ht="15" customHeight="1" x14ac:dyDescent="0.3">
      <c r="A114" s="166"/>
      <c r="B114" s="274"/>
      <c r="C114" s="2362">
        <f>Admin!C22</f>
        <v>6</v>
      </c>
      <c r="D114" s="2362"/>
      <c r="E114" s="2378" t="str">
        <f>Admin!D22</f>
        <v>Off Taker Risk</v>
      </c>
      <c r="F114" s="2378"/>
      <c r="G114" s="2378"/>
      <c r="H114" s="2378"/>
      <c r="I114" s="2378"/>
      <c r="J114" s="2378"/>
      <c r="K114" s="2378"/>
      <c r="L114" s="2378"/>
      <c r="M114" s="2378"/>
      <c r="N114" s="2378"/>
      <c r="O114" s="2378"/>
      <c r="P114" s="2378"/>
      <c r="Q114" s="2378"/>
      <c r="R114" s="2378"/>
      <c r="S114" s="2378"/>
      <c r="T114" s="2378"/>
      <c r="U114" s="2378"/>
      <c r="V114" s="2378"/>
      <c r="W114" s="2378"/>
      <c r="X114" s="310"/>
      <c r="Y114" s="298">
        <f>Admin!I22</f>
        <v>0.125</v>
      </c>
      <c r="Z114" s="298"/>
      <c r="AA114" s="310"/>
      <c r="AB114" s="312">
        <f>Admin!J22</f>
        <v>5</v>
      </c>
      <c r="AC114" s="312"/>
      <c r="AD114" s="101"/>
      <c r="AE114" s="166"/>
    </row>
    <row r="115" spans="1:31" s="266" customFormat="1" ht="15" customHeight="1" x14ac:dyDescent="0.3">
      <c r="A115" s="166"/>
      <c r="B115" s="274"/>
      <c r="C115" s="2362">
        <f>Admin!C23</f>
        <v>7</v>
      </c>
      <c r="D115" s="2362"/>
      <c r="E115" s="2378" t="str">
        <f>Admin!D23</f>
        <v>Foreign Exchange Risk</v>
      </c>
      <c r="F115" s="2378"/>
      <c r="G115" s="2378"/>
      <c r="H115" s="2378"/>
      <c r="I115" s="2378"/>
      <c r="J115" s="2378"/>
      <c r="K115" s="2378"/>
      <c r="L115" s="2378"/>
      <c r="M115" s="2378"/>
      <c r="N115" s="2378"/>
      <c r="O115" s="2378"/>
      <c r="P115" s="2378"/>
      <c r="Q115" s="2378"/>
      <c r="R115" s="2378"/>
      <c r="S115" s="2378"/>
      <c r="T115" s="2378"/>
      <c r="U115" s="2378"/>
      <c r="V115" s="2378"/>
      <c r="W115" s="2378"/>
      <c r="X115" s="310"/>
      <c r="Y115" s="298">
        <f>Admin!I23</f>
        <v>0.125</v>
      </c>
      <c r="Z115" s="298"/>
      <c r="AA115" s="310"/>
      <c r="AB115" s="312">
        <f>Admin!J23</f>
        <v>5</v>
      </c>
      <c r="AC115" s="312"/>
      <c r="AD115" s="101"/>
      <c r="AE115" s="166"/>
    </row>
    <row r="116" spans="1:31" s="266" customFormat="1" ht="15" customHeight="1" x14ac:dyDescent="0.3">
      <c r="A116" s="166"/>
      <c r="B116" s="274"/>
      <c r="C116" s="2362">
        <f>Admin!C24</f>
        <v>8</v>
      </c>
      <c r="D116" s="2362"/>
      <c r="E116" s="2378" t="str">
        <f>Admin!D24</f>
        <v>Environmental and Social Risk</v>
      </c>
      <c r="F116" s="2378"/>
      <c r="G116" s="2378"/>
      <c r="H116" s="2378"/>
      <c r="I116" s="2378"/>
      <c r="J116" s="2378"/>
      <c r="K116" s="2378"/>
      <c r="L116" s="2378"/>
      <c r="M116" s="2378"/>
      <c r="N116" s="2378"/>
      <c r="O116" s="2378"/>
      <c r="P116" s="2378"/>
      <c r="Q116" s="2378"/>
      <c r="R116" s="2378"/>
      <c r="S116" s="2378"/>
      <c r="T116" s="2378"/>
      <c r="U116" s="2378"/>
      <c r="V116" s="2378"/>
      <c r="W116" s="2378"/>
      <c r="X116" s="310"/>
      <c r="Y116" s="298">
        <f>Admin!I24</f>
        <v>0.125</v>
      </c>
      <c r="Z116" s="298"/>
      <c r="AA116" s="310"/>
      <c r="AB116" s="312">
        <f>Admin!J24</f>
        <v>5</v>
      </c>
      <c r="AC116" s="312"/>
      <c r="AD116" s="101"/>
      <c r="AE116" s="166"/>
    </row>
    <row r="117" spans="1:31" s="266" customFormat="1" ht="15" customHeight="1" x14ac:dyDescent="0.3">
      <c r="A117" s="166"/>
      <c r="B117" s="274"/>
      <c r="C117" s="2391" t="str">
        <f>Admin!B25</f>
        <v>IV</v>
      </c>
      <c r="D117" s="2391"/>
      <c r="E117" s="2389" t="str">
        <f>Admin!C25</f>
        <v>PPP Suitability</v>
      </c>
      <c r="F117" s="2389"/>
      <c r="G117" s="2389"/>
      <c r="H117" s="2389"/>
      <c r="I117" s="2389"/>
      <c r="J117" s="2389"/>
      <c r="K117" s="2389"/>
      <c r="L117" s="2389"/>
      <c r="M117" s="2389"/>
      <c r="N117" s="2389"/>
      <c r="O117" s="2389"/>
      <c r="P117" s="2389"/>
      <c r="Q117" s="2389"/>
      <c r="R117" s="2389"/>
      <c r="S117" s="2389"/>
      <c r="T117" s="2389"/>
      <c r="U117" s="2389"/>
      <c r="V117" s="2389"/>
      <c r="W117" s="2389"/>
      <c r="X117" s="304"/>
      <c r="Y117" s="304"/>
      <c r="Z117" s="304">
        <f>Admin!F25</f>
        <v>0.1</v>
      </c>
      <c r="AA117" s="304"/>
      <c r="AB117" s="305"/>
      <c r="AC117" s="305">
        <f>Admin!L25</f>
        <v>5</v>
      </c>
      <c r="AD117" s="101"/>
      <c r="AE117" s="166"/>
    </row>
    <row r="118" spans="1:31" s="266" customFormat="1" ht="15" customHeight="1" x14ac:dyDescent="0.3">
      <c r="A118" s="166"/>
      <c r="B118" s="274"/>
      <c r="C118" s="2362">
        <f>Admin!C26</f>
        <v>1</v>
      </c>
      <c r="D118" s="2362"/>
      <c r="E118" s="2376" t="str">
        <f>Admin!D26</f>
        <v>Value for Money</v>
      </c>
      <c r="F118" s="2376"/>
      <c r="G118" s="2376"/>
      <c r="H118" s="2376"/>
      <c r="I118" s="2376"/>
      <c r="J118" s="2376"/>
      <c r="K118" s="2376"/>
      <c r="L118" s="2376"/>
      <c r="M118" s="2376"/>
      <c r="N118" s="2376"/>
      <c r="O118" s="2376"/>
      <c r="P118" s="2376"/>
      <c r="Q118" s="2376"/>
      <c r="R118" s="2376"/>
      <c r="S118" s="2376"/>
      <c r="T118" s="2376"/>
      <c r="U118" s="2376"/>
      <c r="V118" s="2376"/>
      <c r="W118" s="2376"/>
      <c r="X118" s="310"/>
      <c r="Y118" s="298">
        <f>Admin!I26</f>
        <v>0.6</v>
      </c>
      <c r="Z118" s="313"/>
      <c r="AA118" s="310"/>
      <c r="AB118" s="312">
        <f>Admin!J26</f>
        <v>4.9999999999999991</v>
      </c>
      <c r="AC118" s="312"/>
      <c r="AD118" s="101"/>
      <c r="AE118" s="166"/>
    </row>
    <row r="119" spans="1:31" s="266" customFormat="1" ht="15" customHeight="1" x14ac:dyDescent="0.3">
      <c r="A119" s="166"/>
      <c r="B119" s="274"/>
      <c r="C119" s="2362">
        <f>Admin!C27</f>
        <v>2</v>
      </c>
      <c r="D119" s="2362"/>
      <c r="E119" s="2376" t="str">
        <f>Admin!D27</f>
        <v>Market appetite</v>
      </c>
      <c r="F119" s="2376"/>
      <c r="G119" s="2376"/>
      <c r="H119" s="2376"/>
      <c r="I119" s="2376"/>
      <c r="J119" s="2376"/>
      <c r="K119" s="2376"/>
      <c r="L119" s="2376"/>
      <c r="M119" s="2376"/>
      <c r="N119" s="2376"/>
      <c r="O119" s="2376"/>
      <c r="P119" s="2376"/>
      <c r="Q119" s="2376"/>
      <c r="R119" s="2376"/>
      <c r="S119" s="2376"/>
      <c r="T119" s="2376"/>
      <c r="U119" s="2376"/>
      <c r="V119" s="2376"/>
      <c r="W119" s="2376"/>
      <c r="X119" s="310"/>
      <c r="Y119" s="298">
        <f>Admin!I27</f>
        <v>0.4</v>
      </c>
      <c r="Z119" s="313"/>
      <c r="AA119" s="310"/>
      <c r="AB119" s="312">
        <f>Admin!J27</f>
        <v>5</v>
      </c>
      <c r="AC119" s="312"/>
      <c r="AD119" s="101"/>
      <c r="AE119" s="166"/>
    </row>
    <row r="120" spans="1:31" ht="15.6" x14ac:dyDescent="0.3">
      <c r="A120" s="42"/>
      <c r="B120" s="78"/>
      <c r="C120" s="2392" t="str">
        <f>Admin!B28</f>
        <v>V</v>
      </c>
      <c r="D120" s="2392"/>
      <c r="E120" s="2390" t="str">
        <f>Admin!C28</f>
        <v>Govt’s Fiscal Affordability</v>
      </c>
      <c r="F120" s="2390"/>
      <c r="G120" s="2390"/>
      <c r="H120" s="2390"/>
      <c r="I120" s="2390"/>
      <c r="J120" s="2390"/>
      <c r="K120" s="2390"/>
      <c r="L120" s="2390"/>
      <c r="M120" s="2390"/>
      <c r="N120" s="2390"/>
      <c r="O120" s="2390"/>
      <c r="P120" s="2390"/>
      <c r="Q120" s="2390"/>
      <c r="R120" s="2390"/>
      <c r="S120" s="2390"/>
      <c r="T120" s="2390"/>
      <c r="U120" s="2390"/>
      <c r="V120" s="2390"/>
      <c r="W120" s="2390"/>
      <c r="X120" s="306"/>
      <c r="Y120" s="306"/>
      <c r="Z120" s="306">
        <f>Admin!F28</f>
        <v>0.2</v>
      </c>
      <c r="AA120" s="307"/>
      <c r="AB120" s="307"/>
      <c r="AC120" s="307">
        <f>Admin!L28</f>
        <v>4.1959999999999997</v>
      </c>
      <c r="AD120" s="78"/>
      <c r="AE120" s="42"/>
    </row>
    <row r="121" spans="1:31" ht="15.6" x14ac:dyDescent="0.3">
      <c r="A121" s="42"/>
      <c r="B121" s="78"/>
      <c r="C121" s="2362">
        <f>Admin!C29</f>
        <v>1</v>
      </c>
      <c r="D121" s="2362"/>
      <c r="E121" s="2376" t="str">
        <f>Admin!D29</f>
        <v>Extent and Nature of Government Fiscal Support</v>
      </c>
      <c r="F121" s="2376"/>
      <c r="G121" s="2376"/>
      <c r="H121" s="2376"/>
      <c r="I121" s="2376"/>
      <c r="J121" s="2376"/>
      <c r="K121" s="2376"/>
      <c r="L121" s="2376"/>
      <c r="M121" s="2376"/>
      <c r="N121" s="2376"/>
      <c r="O121" s="2376"/>
      <c r="P121" s="2376"/>
      <c r="Q121" s="2376"/>
      <c r="R121" s="2376"/>
      <c r="S121" s="2376"/>
      <c r="T121" s="2376"/>
      <c r="U121" s="2376"/>
      <c r="V121" s="2376"/>
      <c r="W121" s="2376"/>
      <c r="X121" s="310"/>
      <c r="Y121" s="298">
        <f>Admin!I29</f>
        <v>0.4</v>
      </c>
      <c r="Z121" s="298"/>
      <c r="AA121" s="310"/>
      <c r="AB121" s="312">
        <f>Admin!J29</f>
        <v>5</v>
      </c>
      <c r="AC121" s="312"/>
      <c r="AD121" s="78"/>
      <c r="AE121" s="42"/>
    </row>
    <row r="122" spans="1:31" ht="15.6" x14ac:dyDescent="0.3">
      <c r="A122" s="42"/>
      <c r="B122" s="78"/>
      <c r="C122" s="2362">
        <f>Admin!C30</f>
        <v>2</v>
      </c>
      <c r="D122" s="2362"/>
      <c r="E122" s="2376" t="str">
        <f>Admin!D30</f>
        <v>Quantification of Fiscal Support</v>
      </c>
      <c r="F122" s="2376"/>
      <c r="G122" s="2376"/>
      <c r="H122" s="2376"/>
      <c r="I122" s="2376"/>
      <c r="J122" s="2376"/>
      <c r="K122" s="2376"/>
      <c r="L122" s="2376"/>
      <c r="M122" s="2376"/>
      <c r="N122" s="2376"/>
      <c r="O122" s="2376"/>
      <c r="P122" s="2376"/>
      <c r="Q122" s="2376"/>
      <c r="R122" s="2376"/>
      <c r="S122" s="2376"/>
      <c r="T122" s="2376"/>
      <c r="U122" s="2376"/>
      <c r="V122" s="2376"/>
      <c r="W122" s="2376"/>
      <c r="X122" s="310"/>
      <c r="Y122" s="298">
        <f>Admin!I30</f>
        <v>0.6</v>
      </c>
      <c r="Z122" s="313"/>
      <c r="AA122" s="310"/>
      <c r="AB122" s="312">
        <f>Admin!J30</f>
        <v>3.66</v>
      </c>
      <c r="AC122" s="312"/>
      <c r="AD122" s="78"/>
      <c r="AE122" s="42"/>
    </row>
    <row r="123" spans="1:31" ht="15.6" x14ac:dyDescent="0.3">
      <c r="A123" s="42"/>
      <c r="B123" s="78"/>
      <c r="C123" s="2396" t="str">
        <f>Admin!B31</f>
        <v>VI</v>
      </c>
      <c r="D123" s="2396"/>
      <c r="E123" s="2397" t="str">
        <f>Admin!C31</f>
        <v>Govt’s institutional Capability</v>
      </c>
      <c r="F123" s="2397"/>
      <c r="G123" s="2397"/>
      <c r="H123" s="2397"/>
      <c r="I123" s="2397"/>
      <c r="J123" s="2397"/>
      <c r="K123" s="2397"/>
      <c r="L123" s="2397"/>
      <c r="M123" s="2397"/>
      <c r="N123" s="2397"/>
      <c r="O123" s="2397"/>
      <c r="P123" s="2397"/>
      <c r="Q123" s="2397"/>
      <c r="R123" s="2397"/>
      <c r="S123" s="2397"/>
      <c r="T123" s="2397"/>
      <c r="U123" s="2397"/>
      <c r="V123" s="2397"/>
      <c r="W123" s="2397"/>
      <c r="X123" s="308"/>
      <c r="Y123" s="308"/>
      <c r="Z123" s="308">
        <f>Admin!F31</f>
        <v>0.1</v>
      </c>
      <c r="AA123" s="309"/>
      <c r="AB123" s="309"/>
      <c r="AC123" s="309">
        <f>Admin!L31</f>
        <v>5.0000000000000009</v>
      </c>
      <c r="AD123" s="78"/>
      <c r="AE123" s="42"/>
    </row>
    <row r="124" spans="1:31" ht="15.6" x14ac:dyDescent="0.3">
      <c r="A124" s="42"/>
      <c r="B124" s="78"/>
      <c r="C124" s="2362">
        <f>Admin!C32</f>
        <v>1</v>
      </c>
      <c r="D124" s="2362"/>
      <c r="E124" s="2376" t="str">
        <f>Admin!D32</f>
        <v>Institutional Capacity</v>
      </c>
      <c r="F124" s="2376"/>
      <c r="G124" s="2376"/>
      <c r="H124" s="2376"/>
      <c r="I124" s="2376"/>
      <c r="J124" s="2376"/>
      <c r="K124" s="2376"/>
      <c r="L124" s="2376"/>
      <c r="M124" s="2376"/>
      <c r="N124" s="2376"/>
      <c r="O124" s="2376"/>
      <c r="P124" s="2376"/>
      <c r="Q124" s="2376"/>
      <c r="R124" s="2376"/>
      <c r="S124" s="2376"/>
      <c r="T124" s="2376"/>
      <c r="U124" s="2376"/>
      <c r="V124" s="2376"/>
      <c r="W124" s="2376"/>
      <c r="X124" s="310"/>
      <c r="Y124" s="298">
        <f>Admin!I32</f>
        <v>0.33333333333333337</v>
      </c>
      <c r="Z124" s="313"/>
      <c r="AA124" s="310"/>
      <c r="AB124" s="312">
        <f>Admin!J32</f>
        <v>5</v>
      </c>
      <c r="AC124" s="312"/>
      <c r="AD124" s="78"/>
      <c r="AE124" s="42"/>
    </row>
    <row r="125" spans="1:31" ht="15.6" x14ac:dyDescent="0.3">
      <c r="A125" s="42"/>
      <c r="B125" s="78"/>
      <c r="C125" s="2362">
        <f>Admin!C33</f>
        <v>2</v>
      </c>
      <c r="D125" s="2362"/>
      <c r="E125" s="2376" t="str">
        <f>Admin!D33</f>
        <v>Preparedness of the Contracting Agency for the Project</v>
      </c>
      <c r="F125" s="2376"/>
      <c r="G125" s="2376"/>
      <c r="H125" s="2376"/>
      <c r="I125" s="2376"/>
      <c r="J125" s="2376"/>
      <c r="K125" s="2376"/>
      <c r="L125" s="2376"/>
      <c r="M125" s="2376"/>
      <c r="N125" s="2376"/>
      <c r="O125" s="2376"/>
      <c r="P125" s="2376"/>
      <c r="Q125" s="2376"/>
      <c r="R125" s="2376"/>
      <c r="S125" s="2376"/>
      <c r="T125" s="2376"/>
      <c r="U125" s="2376"/>
      <c r="V125" s="2376"/>
      <c r="W125" s="2376"/>
      <c r="X125" s="310"/>
      <c r="Y125" s="298">
        <f>Admin!I33</f>
        <v>0.33333333333333337</v>
      </c>
      <c r="Z125" s="313"/>
      <c r="AA125" s="310"/>
      <c r="AB125" s="312">
        <f>Admin!J33</f>
        <v>5</v>
      </c>
      <c r="AC125" s="312"/>
      <c r="AD125" s="78"/>
      <c r="AE125" s="42"/>
    </row>
    <row r="126" spans="1:31" ht="15.6" x14ac:dyDescent="0.3">
      <c r="A126" s="42"/>
      <c r="B126" s="78"/>
      <c r="C126" s="2362">
        <f>Admin!C34</f>
        <v>3</v>
      </c>
      <c r="D126" s="2362"/>
      <c r="E126" s="2376" t="str">
        <f>Admin!D34</f>
        <v>Project Execution Capability of the Contracting Agency</v>
      </c>
      <c r="F126" s="2376"/>
      <c r="G126" s="2376"/>
      <c r="H126" s="2376"/>
      <c r="I126" s="2376"/>
      <c r="J126" s="2376"/>
      <c r="K126" s="2376"/>
      <c r="L126" s="2376"/>
      <c r="M126" s="2376"/>
      <c r="N126" s="2376"/>
      <c r="O126" s="2376"/>
      <c r="P126" s="2376"/>
      <c r="Q126" s="2376"/>
      <c r="R126" s="2376"/>
      <c r="S126" s="2376"/>
      <c r="T126" s="2376"/>
      <c r="U126" s="2376"/>
      <c r="V126" s="2376"/>
      <c r="W126" s="2376"/>
      <c r="X126" s="310"/>
      <c r="Y126" s="298">
        <f>Admin!I34</f>
        <v>0.33333333333333337</v>
      </c>
      <c r="Z126" s="313"/>
      <c r="AA126" s="310"/>
      <c r="AB126" s="312">
        <f>Admin!J34</f>
        <v>5</v>
      </c>
      <c r="AC126" s="312"/>
      <c r="AD126" s="78"/>
      <c r="AE126" s="42"/>
    </row>
    <row r="127" spans="1:31" x14ac:dyDescent="0.3">
      <c r="A127" s="42"/>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42"/>
    </row>
    <row r="128" spans="1:3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row>
    <row r="129" spans="1:3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row>
    <row r="131" spans="1:31" x14ac:dyDescent="0.3">
      <c r="A131" s="1826" t="s">
        <v>689</v>
      </c>
      <c r="B131" s="1826"/>
      <c r="C131" s="2418" t="s">
        <v>690</v>
      </c>
      <c r="D131" s="2418"/>
      <c r="E131" s="2418"/>
      <c r="F131" s="2418"/>
      <c r="G131" s="2418"/>
      <c r="H131" s="2418"/>
      <c r="I131" s="2418"/>
      <c r="J131" s="2418"/>
      <c r="K131" s="2418"/>
      <c r="L131" s="2418"/>
      <c r="M131" s="2418"/>
      <c r="N131" s="2418"/>
      <c r="O131" s="2418"/>
      <c r="P131" s="2418"/>
      <c r="Q131" s="2418"/>
      <c r="R131" s="2418"/>
      <c r="S131" s="2418"/>
      <c r="T131" s="2418"/>
      <c r="U131" s="2418"/>
      <c r="V131" s="2418"/>
      <c r="W131" s="2418"/>
      <c r="X131" s="2418"/>
      <c r="Y131" s="2418"/>
      <c r="Z131" s="2418"/>
      <c r="AA131" s="2418"/>
      <c r="AB131" s="2418"/>
      <c r="AC131" s="2418"/>
      <c r="AD131" s="42"/>
      <c r="AE131" s="42"/>
    </row>
    <row r="132" spans="1:31" x14ac:dyDescent="0.3">
      <c r="A132" s="1826"/>
      <c r="B132" s="1826"/>
      <c r="C132" s="2418"/>
      <c r="D132" s="2418"/>
      <c r="E132" s="2418"/>
      <c r="F132" s="2418"/>
      <c r="G132" s="2418"/>
      <c r="H132" s="2418"/>
      <c r="I132" s="2418"/>
      <c r="J132" s="2418"/>
      <c r="K132" s="2418"/>
      <c r="L132" s="2418"/>
      <c r="M132" s="2418"/>
      <c r="N132" s="2418"/>
      <c r="O132" s="2418"/>
      <c r="P132" s="2418"/>
      <c r="Q132" s="2418"/>
      <c r="R132" s="2418"/>
      <c r="S132" s="2418"/>
      <c r="T132" s="2418"/>
      <c r="U132" s="2418"/>
      <c r="V132" s="2418"/>
      <c r="W132" s="2418"/>
      <c r="X132" s="2418"/>
      <c r="Y132" s="2418"/>
      <c r="Z132" s="2418"/>
      <c r="AA132" s="2418"/>
      <c r="AB132" s="2418"/>
      <c r="AC132" s="2418"/>
      <c r="AD132" s="42"/>
      <c r="AE132" s="42"/>
    </row>
    <row r="133" spans="1:31" x14ac:dyDescent="0.3">
      <c r="A133" s="1826"/>
      <c r="B133" s="1826"/>
      <c r="C133" s="2418"/>
      <c r="D133" s="2418"/>
      <c r="E133" s="2418"/>
      <c r="F133" s="2418"/>
      <c r="G133" s="2418"/>
      <c r="H133" s="2418"/>
      <c r="I133" s="2418"/>
      <c r="J133" s="2418"/>
      <c r="K133" s="2418"/>
      <c r="L133" s="2418"/>
      <c r="M133" s="2418"/>
      <c r="N133" s="2418"/>
      <c r="O133" s="2418"/>
      <c r="P133" s="2418"/>
      <c r="Q133" s="2418"/>
      <c r="R133" s="2418"/>
      <c r="S133" s="2418"/>
      <c r="T133" s="2418"/>
      <c r="U133" s="2418"/>
      <c r="V133" s="2418"/>
      <c r="W133" s="2418"/>
      <c r="X133" s="2418"/>
      <c r="Y133" s="2418"/>
      <c r="Z133" s="2418"/>
      <c r="AA133" s="2418"/>
      <c r="AB133" s="2418"/>
      <c r="AC133" s="2418"/>
      <c r="AD133" s="42"/>
      <c r="AE133" s="42"/>
    </row>
  </sheetData>
  <sheetProtection password="DA20" sheet="1" objects="1" scenarios="1"/>
  <mergeCells count="155">
    <mergeCell ref="C131:AC133"/>
    <mergeCell ref="P66:V70"/>
    <mergeCell ref="E111:W111"/>
    <mergeCell ref="C83:I83"/>
    <mergeCell ref="K83:L83"/>
    <mergeCell ref="C62:I62"/>
    <mergeCell ref="K62:L62"/>
    <mergeCell ref="C69:I69"/>
    <mergeCell ref="K69:L69"/>
    <mergeCell ref="C76:I76"/>
    <mergeCell ref="K76:L76"/>
    <mergeCell ref="C110:D110"/>
    <mergeCell ref="C111:D111"/>
    <mergeCell ref="C109:D109"/>
    <mergeCell ref="E96:W96"/>
    <mergeCell ref="E97:W97"/>
    <mergeCell ref="E98:W98"/>
    <mergeCell ref="E99:W99"/>
    <mergeCell ref="E100:W100"/>
    <mergeCell ref="E102:W102"/>
    <mergeCell ref="E103:W103"/>
    <mergeCell ref="E110:W110"/>
    <mergeCell ref="P73:V77"/>
    <mergeCell ref="P80:V84"/>
    <mergeCell ref="E105:W105"/>
    <mergeCell ref="C9:N10"/>
    <mergeCell ref="P9:AC10"/>
    <mergeCell ref="P11:P14"/>
    <mergeCell ref="Q11:AC14"/>
    <mergeCell ref="P15:P18"/>
    <mergeCell ref="P48:AC48"/>
    <mergeCell ref="C48:N48"/>
    <mergeCell ref="W52:AC56"/>
    <mergeCell ref="C55:I55"/>
    <mergeCell ref="K55:L55"/>
    <mergeCell ref="P52:V56"/>
    <mergeCell ref="X22:AC27"/>
    <mergeCell ref="AB29:AC29"/>
    <mergeCell ref="C38:AA38"/>
    <mergeCell ref="C39:AA39"/>
    <mergeCell ref="C40:AA40"/>
    <mergeCell ref="C41:AA41"/>
    <mergeCell ref="C42:AA42"/>
    <mergeCell ref="AB35:AC35"/>
    <mergeCell ref="AB36:AC36"/>
    <mergeCell ref="AB37:AC37"/>
    <mergeCell ref="AB38:AC38"/>
    <mergeCell ref="AB39:AC39"/>
    <mergeCell ref="Q15:AC19"/>
    <mergeCell ref="C114:D114"/>
    <mergeCell ref="E114:W114"/>
    <mergeCell ref="C125:D125"/>
    <mergeCell ref="C126:D126"/>
    <mergeCell ref="E125:W125"/>
    <mergeCell ref="E126:W126"/>
    <mergeCell ref="C122:D122"/>
    <mergeCell ref="C123:D123"/>
    <mergeCell ref="C124:D124"/>
    <mergeCell ref="E122:W122"/>
    <mergeCell ref="E124:W124"/>
    <mergeCell ref="E123:W123"/>
    <mergeCell ref="E101:W101"/>
    <mergeCell ref="C99:D99"/>
    <mergeCell ref="C100:D100"/>
    <mergeCell ref="C101:D101"/>
    <mergeCell ref="C102:D102"/>
    <mergeCell ref="C103:D103"/>
    <mergeCell ref="C104:D104"/>
    <mergeCell ref="C95:D95"/>
    <mergeCell ref="C96:D96"/>
    <mergeCell ref="C97:D97"/>
    <mergeCell ref="C98:D98"/>
    <mergeCell ref="AG85:AN93"/>
    <mergeCell ref="AG95:AN97"/>
    <mergeCell ref="AG101:AN103"/>
    <mergeCell ref="W87:AC91"/>
    <mergeCell ref="C121:D121"/>
    <mergeCell ref="E112:W112"/>
    <mergeCell ref="E113:W113"/>
    <mergeCell ref="E115:W115"/>
    <mergeCell ref="E116:W116"/>
    <mergeCell ref="E117:W117"/>
    <mergeCell ref="E118:W118"/>
    <mergeCell ref="E119:W119"/>
    <mergeCell ref="E121:W121"/>
    <mergeCell ref="E120:W120"/>
    <mergeCell ref="C117:D117"/>
    <mergeCell ref="C118:D118"/>
    <mergeCell ref="C119:D119"/>
    <mergeCell ref="C113:D113"/>
    <mergeCell ref="C115:D115"/>
    <mergeCell ref="C116:D116"/>
    <mergeCell ref="C112:D112"/>
    <mergeCell ref="C120:D120"/>
    <mergeCell ref="C107:D107"/>
    <mergeCell ref="C108:D108"/>
    <mergeCell ref="AP91:BJ91"/>
    <mergeCell ref="AP92:BJ92"/>
    <mergeCell ref="E107:W107"/>
    <mergeCell ref="E108:W108"/>
    <mergeCell ref="E109:W109"/>
    <mergeCell ref="AG104:AN106"/>
    <mergeCell ref="E95:G95"/>
    <mergeCell ref="E106:W106"/>
    <mergeCell ref="AP72:AU78"/>
    <mergeCell ref="AG107:AN109"/>
    <mergeCell ref="AG98:AN100"/>
    <mergeCell ref="Y95:Z95"/>
    <mergeCell ref="AB95:AC95"/>
    <mergeCell ref="AP93:BJ93"/>
    <mergeCell ref="AP95:BJ96"/>
    <mergeCell ref="AP97:BJ97"/>
    <mergeCell ref="AP86:BJ87"/>
    <mergeCell ref="AP88:BJ88"/>
    <mergeCell ref="P87:V91"/>
    <mergeCell ref="W73:AC77"/>
    <mergeCell ref="W80:AC84"/>
    <mergeCell ref="C90:I90"/>
    <mergeCell ref="K90:L90"/>
    <mergeCell ref="E104:W104"/>
    <mergeCell ref="C105:D105"/>
    <mergeCell ref="C106:D106"/>
    <mergeCell ref="AT22:BE22"/>
    <mergeCell ref="AP63:AU64"/>
    <mergeCell ref="AT12:BE12"/>
    <mergeCell ref="AT16:BE16"/>
    <mergeCell ref="AT27:BE27"/>
    <mergeCell ref="AT49:BE49"/>
    <mergeCell ref="AT53:BE53"/>
    <mergeCell ref="AP65:AU71"/>
    <mergeCell ref="W59:AC63"/>
    <mergeCell ref="W66:AC70"/>
    <mergeCell ref="AB40:AC40"/>
    <mergeCell ref="AB41:AC41"/>
    <mergeCell ref="AB42:AC42"/>
    <mergeCell ref="C30:AA30"/>
    <mergeCell ref="C31:AA31"/>
    <mergeCell ref="C32:AA32"/>
    <mergeCell ref="AB30:AC30"/>
    <mergeCell ref="AB31:AC31"/>
    <mergeCell ref="AB32:AC32"/>
    <mergeCell ref="C35:AA35"/>
    <mergeCell ref="C36:AA36"/>
    <mergeCell ref="C37:AA37"/>
    <mergeCell ref="X20:AC21"/>
    <mergeCell ref="AB34:AC34"/>
    <mergeCell ref="P59:V63"/>
    <mergeCell ref="AB43:AC43"/>
    <mergeCell ref="AB44:AC44"/>
    <mergeCell ref="AB45:AC45"/>
    <mergeCell ref="AB46:AC46"/>
    <mergeCell ref="C43:AA43"/>
    <mergeCell ref="C44:AA44"/>
    <mergeCell ref="C45:AA45"/>
    <mergeCell ref="C46:AA46"/>
  </mergeCells>
  <conditionalFormatting sqref="W59">
    <cfRule type="expression" dxfId="331" priority="115">
      <formula>$W$59="      need to be reassessed"</formula>
    </cfRule>
  </conditionalFormatting>
  <conditionalFormatting sqref="W52">
    <cfRule type="expression" dxfId="330" priority="114">
      <formula>$W$52="   need to be reassessed"</formula>
    </cfRule>
  </conditionalFormatting>
  <conditionalFormatting sqref="W66">
    <cfRule type="expression" dxfId="329" priority="113">
      <formula>$W$66="      need to be reassessed"</formula>
    </cfRule>
  </conditionalFormatting>
  <conditionalFormatting sqref="W73">
    <cfRule type="expression" dxfId="328" priority="112">
      <formula>$W$73="  need to be reassessed"</formula>
    </cfRule>
  </conditionalFormatting>
  <conditionalFormatting sqref="W80">
    <cfRule type="expression" dxfId="327" priority="111">
      <formula>$W$80="  need to be reassessed"</formula>
    </cfRule>
  </conditionalFormatting>
  <conditionalFormatting sqref="AB97">
    <cfRule type="colorScale" priority="109">
      <colorScale>
        <cfvo type="num" val="0"/>
        <cfvo type="num" val="2.5"/>
        <cfvo type="num" val="5"/>
        <color rgb="FFF8696B"/>
        <color rgb="FFFFEB84"/>
        <color rgb="FF63BE7B"/>
      </colorScale>
    </cfRule>
  </conditionalFormatting>
  <conditionalFormatting sqref="W87">
    <cfRule type="expression" dxfId="326" priority="326">
      <formula>$W$87="   need to be reassessed"</formula>
    </cfRule>
  </conditionalFormatting>
  <conditionalFormatting sqref="AB98:AB100">
    <cfRule type="colorScale" priority="98">
      <colorScale>
        <cfvo type="num" val="0"/>
        <cfvo type="num" val="2.5"/>
        <cfvo type="num" val="5"/>
        <color rgb="FFF8696B"/>
        <color rgb="FFFFEB84"/>
        <color rgb="FF63BE7B"/>
      </colorScale>
    </cfRule>
  </conditionalFormatting>
  <conditionalFormatting sqref="AB102:AB107">
    <cfRule type="colorScale" priority="97">
      <colorScale>
        <cfvo type="num" val="0"/>
        <cfvo type="num" val="2.5"/>
        <cfvo type="num" val="5"/>
        <color rgb="FFF8696B"/>
        <color rgb="FFFFEB84"/>
        <color rgb="FF63BE7B"/>
      </colorScale>
    </cfRule>
  </conditionalFormatting>
  <conditionalFormatting sqref="AB109:AB116">
    <cfRule type="colorScale" priority="96">
      <colorScale>
        <cfvo type="num" val="0"/>
        <cfvo type="num" val="2.5"/>
        <cfvo type="num" val="5"/>
        <color rgb="FFF8696B"/>
        <color rgb="FFFFEB84"/>
        <color rgb="FF63BE7B"/>
      </colorScale>
    </cfRule>
  </conditionalFormatting>
  <conditionalFormatting sqref="AB118:AB119">
    <cfRule type="colorScale" priority="95">
      <colorScale>
        <cfvo type="num" val="0"/>
        <cfvo type="num" val="2.5"/>
        <cfvo type="num" val="5"/>
        <color rgb="FFF8696B"/>
        <color rgb="FFFFEB84"/>
        <color rgb="FF63BE7B"/>
      </colorScale>
    </cfRule>
  </conditionalFormatting>
  <conditionalFormatting sqref="AB121:AB122">
    <cfRule type="colorScale" priority="94">
      <colorScale>
        <cfvo type="num" val="0"/>
        <cfvo type="num" val="2.5"/>
        <cfvo type="num" val="5"/>
        <color rgb="FFF8696B"/>
        <color rgb="FFFFEB84"/>
        <color rgb="FF63BE7B"/>
      </colorScale>
    </cfRule>
  </conditionalFormatting>
  <conditionalFormatting sqref="AB124:AB126">
    <cfRule type="colorScale" priority="93">
      <colorScale>
        <cfvo type="num" val="0"/>
        <cfvo type="num" val="2.5"/>
        <cfvo type="num" val="5"/>
        <color rgb="FFF8696B"/>
        <color rgb="FFFFEB84"/>
        <color rgb="FF63BE7B"/>
      </colorScale>
    </cfRule>
  </conditionalFormatting>
  <conditionalFormatting sqref="X22">
    <cfRule type="iconSet" priority="330">
      <iconSet iconSet="3Symbols">
        <cfvo type="percent" val="0"/>
        <cfvo type="percent" val="33"/>
        <cfvo type="percent" val="67"/>
      </iconSet>
    </cfRule>
    <cfRule type="cellIs" dxfId="325" priority="331" operator="greaterThan">
      <formula>$X$22</formula>
    </cfRule>
  </conditionalFormatting>
  <conditionalFormatting sqref="R20:U21 W21 W20:X20 Q15">
    <cfRule type="cellIs" dxfId="324" priority="89" operator="equal">
      <formula>0</formula>
    </cfRule>
  </conditionalFormatting>
  <conditionalFormatting sqref="AB30:AC32">
    <cfRule type="expression" dxfId="323" priority="46">
      <formula>AB30=Uncertain</formula>
    </cfRule>
    <cfRule type="expression" dxfId="322" priority="47">
      <formula>AB30=Skip</formula>
    </cfRule>
  </conditionalFormatting>
  <conditionalFormatting sqref="AB30:AC30">
    <cfRule type="expression" dxfId="321" priority="16">
      <formula>C30=0</formula>
    </cfRule>
    <cfRule type="expression" dxfId="320" priority="43">
      <formula>AB30=NA</formula>
    </cfRule>
    <cfRule type="expression" dxfId="319" priority="44">
      <formula>AB30=Yes</formula>
    </cfRule>
    <cfRule type="expression" dxfId="318" priority="45">
      <formula>AB30=No</formula>
    </cfRule>
  </conditionalFormatting>
  <conditionalFormatting sqref="AB31:AC32">
    <cfRule type="expression" dxfId="317" priority="40">
      <formula>AB31=NA</formula>
    </cfRule>
    <cfRule type="expression" dxfId="316" priority="41">
      <formula>AB31=Yes</formula>
    </cfRule>
    <cfRule type="expression" dxfId="315" priority="42">
      <formula>AB31=No</formula>
    </cfRule>
  </conditionalFormatting>
  <conditionalFormatting sqref="AB35:AC38 AB40:AC43 AB45:AC46">
    <cfRule type="expression" dxfId="314" priority="38">
      <formula>AB35=Uncertain</formula>
    </cfRule>
    <cfRule type="expression" dxfId="313" priority="39">
      <formula>AB35=Skip</formula>
    </cfRule>
  </conditionalFormatting>
  <conditionalFormatting sqref="AB35:AC38 AB40:AC43 AB45:AC46">
    <cfRule type="expression" dxfId="312" priority="35">
      <formula>AB35=NA</formula>
    </cfRule>
    <cfRule type="expression" dxfId="311" priority="36">
      <formula>AB35=Yes</formula>
    </cfRule>
    <cfRule type="expression" dxfId="310" priority="37">
      <formula>AB35=No</formula>
    </cfRule>
  </conditionalFormatting>
  <conditionalFormatting sqref="AB31:AC31">
    <cfRule type="expression" dxfId="309" priority="15">
      <formula>$C$31=0</formula>
    </cfRule>
    <cfRule type="expression" dxfId="308" priority="32">
      <formula>AB31=NA</formula>
    </cfRule>
    <cfRule type="expression" dxfId="307" priority="33">
      <formula>AB31=Yes</formula>
    </cfRule>
    <cfRule type="expression" dxfId="306" priority="34">
      <formula>AB31=No</formula>
    </cfRule>
  </conditionalFormatting>
  <conditionalFormatting sqref="AB32:AC32">
    <cfRule type="expression" dxfId="305" priority="14">
      <formula>$C$32=0</formula>
    </cfRule>
    <cfRule type="expression" dxfId="304" priority="29">
      <formula>AB32=NA</formula>
    </cfRule>
    <cfRule type="expression" dxfId="303" priority="30">
      <formula>AB32=Yes</formula>
    </cfRule>
    <cfRule type="expression" dxfId="302" priority="31">
      <formula>AB32=No</formula>
    </cfRule>
  </conditionalFormatting>
  <conditionalFormatting sqref="AB39:AC39">
    <cfRule type="expression" dxfId="301" priority="9">
      <formula>$C$39=0</formula>
    </cfRule>
    <cfRule type="expression" dxfId="300" priority="27">
      <formula>AB39=Uncertain</formula>
    </cfRule>
    <cfRule type="expression" dxfId="299" priority="28">
      <formula>AB39=Skip</formula>
    </cfRule>
  </conditionalFormatting>
  <conditionalFormatting sqref="AB39:AC39">
    <cfRule type="expression" dxfId="298" priority="24">
      <formula>AB39=NA</formula>
    </cfRule>
    <cfRule type="expression" dxfId="297" priority="25">
      <formula>AB39=No</formula>
    </cfRule>
    <cfRule type="expression" dxfId="296" priority="26">
      <formula>AB39=Yes</formula>
    </cfRule>
  </conditionalFormatting>
  <conditionalFormatting sqref="X20">
    <cfRule type="expression" dxfId="295" priority="23">
      <formula>SUM($V$20:$V$21)&gt;0</formula>
    </cfRule>
  </conditionalFormatting>
  <conditionalFormatting sqref="AB44:AC44">
    <cfRule type="expression" dxfId="294" priority="3">
      <formula>$C$44=0</formula>
    </cfRule>
    <cfRule type="expression" dxfId="293" priority="21">
      <formula>AB44=Uncertain</formula>
    </cfRule>
    <cfRule type="expression" dxfId="292" priority="22">
      <formula>AB44=Skip</formula>
    </cfRule>
  </conditionalFormatting>
  <conditionalFormatting sqref="AB44:AC44">
    <cfRule type="expression" dxfId="291" priority="18">
      <formula>AB44=NA</formula>
    </cfRule>
    <cfRule type="expression" dxfId="290" priority="19">
      <formula>AB44=No</formula>
    </cfRule>
    <cfRule type="expression" dxfId="289" priority="20">
      <formula>AB44=Yes</formula>
    </cfRule>
  </conditionalFormatting>
  <conditionalFormatting sqref="C30:AA32">
    <cfRule type="cellIs" dxfId="288" priority="17" operator="equal">
      <formula>0</formula>
    </cfRule>
  </conditionalFormatting>
  <conditionalFormatting sqref="AB35:AC35">
    <cfRule type="expression" dxfId="287" priority="13">
      <formula>$C$35=0</formula>
    </cfRule>
  </conditionalFormatting>
  <conditionalFormatting sqref="AB36:AC36">
    <cfRule type="expression" dxfId="286" priority="12">
      <formula>$C$36=0</formula>
    </cfRule>
  </conditionalFormatting>
  <conditionalFormatting sqref="AB37:AC37">
    <cfRule type="expression" dxfId="285" priority="11">
      <formula>$C$37=0</formula>
    </cfRule>
  </conditionalFormatting>
  <conditionalFormatting sqref="AB38:AC38">
    <cfRule type="expression" dxfId="284" priority="10">
      <formula>$C$38=0</formula>
    </cfRule>
  </conditionalFormatting>
  <conditionalFormatting sqref="AB40:AC40">
    <cfRule type="expression" dxfId="283" priority="8">
      <formula>$C$40=0</formula>
    </cfRule>
  </conditionalFormatting>
  <conditionalFormatting sqref="C35:AA46">
    <cfRule type="cellIs" dxfId="282" priority="7" operator="equal">
      <formula>0</formula>
    </cfRule>
  </conditionalFormatting>
  <conditionalFormatting sqref="AB41:AC41">
    <cfRule type="expression" dxfId="281" priority="6">
      <formula>$C$41=0</formula>
    </cfRule>
  </conditionalFormatting>
  <conditionalFormatting sqref="AB42:AC42">
    <cfRule type="expression" dxfId="280" priority="5">
      <formula>$C$42=0</formula>
    </cfRule>
  </conditionalFormatting>
  <conditionalFormatting sqref="AB43:AC43">
    <cfRule type="expression" dxfId="279" priority="4">
      <formula>$C$43=0</formula>
    </cfRule>
  </conditionalFormatting>
  <conditionalFormatting sqref="AB45:AC45">
    <cfRule type="expression" dxfId="278" priority="2">
      <formula>$C$45=0</formula>
    </cfRule>
  </conditionalFormatting>
  <conditionalFormatting sqref="AB46:AC46">
    <cfRule type="expression" dxfId="277" priority="1">
      <formula>$C$46=0</formula>
    </cfRule>
  </conditionalFormatting>
  <hyperlinks>
    <hyperlink ref="AB43:AC46" location="PD_8" display="PD_8" xr:uid="{00000000-0004-0000-0A00-000000000000}"/>
    <hyperlink ref="C30:AA30" location="pre_1" display="pre_1" xr:uid="{00000000-0004-0000-0A00-000001000000}"/>
    <hyperlink ref="C31:AA31" location="pre_2" display="pre_2" xr:uid="{00000000-0004-0000-0A00-000002000000}"/>
    <hyperlink ref="C32:AA32" location="pre_3" display="pre_3" xr:uid="{00000000-0004-0000-0A00-000003000000}"/>
    <hyperlink ref="C35:AA35" location="PD_1" display="PD_1" xr:uid="{00000000-0004-0000-0A00-000004000000}"/>
    <hyperlink ref="C36:AA36" location="PD_2" display="PD_2" xr:uid="{00000000-0004-0000-0A00-000005000000}"/>
    <hyperlink ref="C37:AA37" location="PD_13" display="PD_13" xr:uid="{00000000-0004-0000-0A00-000006000000}"/>
    <hyperlink ref="C38:AA38" location="PD_3" display="PD_3" xr:uid="{00000000-0004-0000-0A00-000007000000}"/>
    <hyperlink ref="C39:AA39" location="PD_4" display="PD_4" xr:uid="{00000000-0004-0000-0A00-000008000000}"/>
    <hyperlink ref="C40:AA40" location="PD_5" display="PD_5" xr:uid="{00000000-0004-0000-0A00-000009000000}"/>
    <hyperlink ref="C41:AA41" location="PD_16" display="PD_16" xr:uid="{00000000-0004-0000-0A00-00000A000000}"/>
    <hyperlink ref="C42:AA42" location="PD_8" display="PD_8" xr:uid="{00000000-0004-0000-0A00-00000B000000}"/>
    <hyperlink ref="C43:AA43" location="PPD_4" display="PPD_4" xr:uid="{00000000-0004-0000-0A00-00000C000000}"/>
    <hyperlink ref="C44:AA44" location="ppd_5" display="ppd_5" xr:uid="{00000000-0004-0000-0A00-00000D000000}"/>
    <hyperlink ref="C45:AA45" location="ppd_6" display="ppd_6" xr:uid="{00000000-0004-0000-0A00-00000E000000}"/>
    <hyperlink ref="C46:AA46" location="ppd_7" display="ppd_7" xr:uid="{00000000-0004-0000-0A00-00000F000000}"/>
    <hyperlink ref="C50:H50" location="'I.Strategic Suitability'!A1" display="Strategic Suitablility" xr:uid="{00000000-0004-0000-0A00-000010000000}"/>
    <hyperlink ref="C58:I58" location="'II.Preliminary Feasibility'!A1" display="Preliminary Feasibility" xr:uid="{00000000-0004-0000-0A00-000011000000}"/>
    <hyperlink ref="C65:G65" location="'III.Risk Assessment'!A1" display="Risk Assessment" xr:uid="{00000000-0004-0000-0A00-000012000000}"/>
    <hyperlink ref="C72:G72" location="'IV.PPP Suitability'!A1" display="PPP Suitability" xr:uid="{00000000-0004-0000-0A00-000013000000}"/>
    <hyperlink ref="C79:H79" location="'V.Fiscal Affordability'!A1" display="Fiscal Affordability" xr:uid="{00000000-0004-0000-0A00-000014000000}"/>
    <hyperlink ref="C86:I86" location="'VI.Institutional Capability'!A1" display="Institutional capability" xr:uid="{00000000-0004-0000-0A00-000015000000}"/>
    <hyperlink ref="E96:W96" location="'I.Strategic Suitability'!A1" display="'I.Strategic Suitability'!A1" xr:uid="{00000000-0004-0000-0A00-000016000000}"/>
    <hyperlink ref="E101:W101" location="'II.Preliminary Feasibility'!A1" display="'II.Preliminary Feasibility'!A1" xr:uid="{00000000-0004-0000-0A00-000017000000}"/>
    <hyperlink ref="E108:W108" location="'III.Risk Assessment'!A1" display="'III.Risk Assessment'!A1" xr:uid="{00000000-0004-0000-0A00-000018000000}"/>
    <hyperlink ref="E117:W117" location="'IV.PPP Suitability'!A1" display="'IV.PPP Suitability'!A1" xr:uid="{00000000-0004-0000-0A00-000019000000}"/>
    <hyperlink ref="E120:W120" location="'V.Fiscal Affordability'!A1" display="'V.Fiscal Affordability'!A1" xr:uid="{00000000-0004-0000-0A00-00001A000000}"/>
    <hyperlink ref="E123:W123" location="'VI.Institutional Capability'!A1" display="'VI.Institutional Capability'!A1" xr:uid="{00000000-0004-0000-0A00-00001B000000}"/>
  </hyperlinks>
  <pageMargins left="0.25" right="0.25" top="0.75" bottom="0.75" header="0.3" footer="0.3"/>
  <pageSetup paperSize="9" scale="74" fitToWidth="0" fitToHeight="2" orientation="portrait" r:id="rId1"/>
  <colBreaks count="1" manualBreakCount="1">
    <brk id="31" max="1048575" man="1"/>
  </colBreaks>
  <ignoredErrors>
    <ignoredError sqref="AB30:AC32 AB35:AC46 C35:AA46 C30:AA32"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FCE77A7A-DE33-4F22-8930-DE44D9841AEA}">
            <xm:f>NOT(ISERROR(SEARCH($X$22,X22)))</xm:f>
            <xm:f>$X$22</xm:f>
            <x14:dxf>
              <font>
                <color theme="0"/>
              </font>
              <fill>
                <gradientFill degree="270">
                  <stop position="0">
                    <color rgb="FFFF0000"/>
                  </stop>
                  <stop position="1">
                    <color rgb="FFC00000"/>
                  </stop>
                </gradientFill>
              </fill>
              <border>
                <left/>
                <right/>
                <top/>
                <bottom/>
              </border>
            </x14:dxf>
          </x14:cfRule>
          <xm:sqref>X22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W204"/>
  <sheetViews>
    <sheetView zoomScaleNormal="100" zoomScaleSheetLayoutView="80" workbookViewId="0"/>
  </sheetViews>
  <sheetFormatPr defaultColWidth="9.21875" defaultRowHeight="14.4" x14ac:dyDescent="0.3"/>
  <cols>
    <col min="1" max="1" width="1.44140625" style="1172" customWidth="1"/>
    <col min="2" max="2" width="4.77734375" style="1172" customWidth="1"/>
    <col min="3" max="3" width="0" style="1172" hidden="1" customWidth="1"/>
    <col min="4" max="4" width="30.77734375" style="1172" customWidth="1"/>
    <col min="5" max="7" width="9.21875" style="1172"/>
    <col min="8" max="8" width="15.44140625" style="1172" customWidth="1"/>
    <col min="9" max="9" width="2.77734375" style="1172" customWidth="1"/>
    <col min="10" max="13" width="9.21875" style="1172"/>
    <col min="14" max="14" width="14.77734375" style="1172" customWidth="1"/>
    <col min="15" max="15" width="2.77734375" style="1172" customWidth="1"/>
    <col min="16" max="16" width="9.21875" style="1172" customWidth="1"/>
    <col min="17" max="22" width="9.21875" style="1172"/>
    <col min="23" max="23" width="1.44140625" style="1223" customWidth="1"/>
    <col min="24" max="16384" width="9.21875" style="1172"/>
  </cols>
  <sheetData>
    <row r="1" spans="1:23" ht="31.2" thickBot="1" x14ac:dyDescent="0.35">
      <c r="A1" s="1268"/>
      <c r="B1" s="1268"/>
      <c r="C1" s="1268"/>
      <c r="D1" s="1268"/>
      <c r="E1" s="1268"/>
      <c r="F1" s="1268"/>
      <c r="G1" s="1268"/>
      <c r="H1" s="1268"/>
      <c r="I1" s="1268"/>
      <c r="J1" s="1268"/>
      <c r="K1" s="1269" t="s">
        <v>467</v>
      </c>
      <c r="L1" s="1268"/>
      <c r="M1" s="1268"/>
      <c r="N1" s="1268"/>
      <c r="O1" s="1268"/>
      <c r="P1" s="1268"/>
      <c r="Q1" s="1268"/>
      <c r="R1" s="1268"/>
      <c r="S1" s="1268"/>
      <c r="T1" s="1268"/>
      <c r="U1" s="1268"/>
      <c r="V1" s="1268"/>
      <c r="W1" s="1270"/>
    </row>
    <row r="2" spans="1:23" ht="14.55" customHeight="1" x14ac:dyDescent="0.3">
      <c r="A2" s="1173"/>
      <c r="B2" s="1174" t="str">
        <f>CONCATENATE('0.Basic Project Data'!D8)</f>
        <v>Date of Submission:</v>
      </c>
      <c r="C2" s="1175"/>
      <c r="D2" s="1176"/>
      <c r="E2" s="1175"/>
      <c r="F2" s="1175"/>
      <c r="G2" s="1175"/>
      <c r="H2" s="1175"/>
      <c r="I2" s="1161"/>
      <c r="J2" s="1162"/>
      <c r="K2" s="1162"/>
      <c r="L2" s="1162"/>
      <c r="M2" s="1162"/>
      <c r="N2" s="1162"/>
      <c r="O2" s="1163"/>
      <c r="P2" s="1175"/>
      <c r="Q2" s="2460"/>
      <c r="R2" s="2460"/>
      <c r="S2" s="1177"/>
      <c r="T2" s="1177"/>
      <c r="U2" s="1177"/>
      <c r="V2" s="1178"/>
      <c r="W2" s="1173"/>
    </row>
    <row r="3" spans="1:23" ht="14.55" hidden="1" customHeight="1" x14ac:dyDescent="0.3">
      <c r="A3" s="1173"/>
      <c r="B3" s="1179"/>
      <c r="C3" s="1176"/>
      <c r="D3" s="1176"/>
      <c r="E3" s="1176"/>
      <c r="F3" s="1176"/>
      <c r="G3" s="1176"/>
      <c r="H3" s="1176"/>
      <c r="I3" s="1164"/>
      <c r="J3" s="1165"/>
      <c r="K3" s="1165"/>
      <c r="L3" s="1165"/>
      <c r="M3" s="1165"/>
      <c r="N3" s="1165"/>
      <c r="O3" s="1166"/>
      <c r="P3" s="1176"/>
      <c r="Q3" s="2238"/>
      <c r="R3" s="2238"/>
      <c r="S3" s="228"/>
      <c r="T3" s="228"/>
      <c r="U3" s="228"/>
      <c r="V3" s="1180"/>
      <c r="W3" s="1173"/>
    </row>
    <row r="4" spans="1:23" ht="14.55" customHeight="1" x14ac:dyDescent="0.3">
      <c r="A4" s="1173"/>
      <c r="B4" s="2443" t="str">
        <f>'0.Basic Project Data'!C10</f>
        <v>A) Project Profile</v>
      </c>
      <c r="C4" s="2429"/>
      <c r="D4" s="2429"/>
      <c r="E4" s="2429"/>
      <c r="F4" s="2429"/>
      <c r="G4" s="2429"/>
      <c r="H4" s="2429"/>
      <c r="I4" s="1176"/>
      <c r="J4" s="1176"/>
      <c r="K4" s="1176"/>
      <c r="L4" s="1167" t="s">
        <v>468</v>
      </c>
      <c r="M4" s="1176"/>
      <c r="N4" s="1176"/>
      <c r="O4" s="1176"/>
      <c r="P4" s="2429" t="str">
        <f>'0.Basic Project Data'!C37</f>
        <v>F) Value for Money - Quantitative Assessment</v>
      </c>
      <c r="Q4" s="2429"/>
      <c r="R4" s="2429"/>
      <c r="S4" s="2429"/>
      <c r="T4" s="2429"/>
      <c r="U4" s="2429"/>
      <c r="V4" s="2430"/>
      <c r="W4" s="1173"/>
    </row>
    <row r="5" spans="1:23" ht="14.55" customHeight="1" x14ac:dyDescent="0.3">
      <c r="A5" s="1173"/>
      <c r="B5" s="2440" t="str">
        <f>'0.Basic Project Data'!D6</f>
        <v>Project Name:</v>
      </c>
      <c r="C5" s="2441"/>
      <c r="D5" s="2441"/>
      <c r="E5" s="2445">
        <f>'0.Basic Project Data'!H6</f>
        <v>0</v>
      </c>
      <c r="F5" s="2445"/>
      <c r="G5" s="2445"/>
      <c r="H5" s="2445"/>
      <c r="I5" s="1176"/>
      <c r="J5" s="1168"/>
      <c r="K5" s="1168"/>
      <c r="L5" s="2451"/>
      <c r="M5" s="2451"/>
      <c r="N5" s="2451"/>
      <c r="O5" s="1176"/>
      <c r="P5" s="2428" t="str">
        <f>'0.Basic Project Data'!D38</f>
        <v>Value for Money from the project</v>
      </c>
      <c r="Q5" s="2428"/>
      <c r="R5" s="2428"/>
      <c r="S5" s="2428"/>
      <c r="T5" s="2444">
        <f>'0.Basic Project Data'!H38</f>
        <v>0</v>
      </c>
      <c r="U5" s="2445"/>
      <c r="V5" s="2446"/>
      <c r="W5" s="1173"/>
    </row>
    <row r="6" spans="1:23" ht="14.55" customHeight="1" x14ac:dyDescent="0.3">
      <c r="A6" s="1173"/>
      <c r="B6" s="2440" t="str">
        <f>'0.Basic Project Data'!D11</f>
        <v>Location</v>
      </c>
      <c r="C6" s="2441"/>
      <c r="D6" s="2441"/>
      <c r="E6" s="2450">
        <f>'0.Basic Project Data'!H11</f>
        <v>0</v>
      </c>
      <c r="F6" s="2450"/>
      <c r="G6" s="2450"/>
      <c r="H6" s="2450"/>
      <c r="I6" s="1176"/>
      <c r="J6" s="1168"/>
      <c r="K6" s="1168"/>
      <c r="L6" s="2452"/>
      <c r="M6" s="2452"/>
      <c r="N6" s="2452"/>
      <c r="O6" s="1176"/>
      <c r="P6" s="2428" t="str">
        <f>'0.Basic Project Data'!D39</f>
        <v>Threshold Value for Money</v>
      </c>
      <c r="Q6" s="2428"/>
      <c r="R6" s="2428"/>
      <c r="S6" s="2428"/>
      <c r="T6" s="2444">
        <f>'0.Basic Project Data'!H39</f>
        <v>0</v>
      </c>
      <c r="U6" s="2445"/>
      <c r="V6" s="2446"/>
      <c r="W6" s="1173"/>
    </row>
    <row r="7" spans="1:23" ht="14.55" customHeight="1" x14ac:dyDescent="0.3">
      <c r="A7" s="1173"/>
      <c r="B7" s="2440" t="str">
        <f>'0.Basic Project Data'!D7</f>
        <v>Implementing Government Agency:</v>
      </c>
      <c r="C7" s="2441"/>
      <c r="D7" s="2441"/>
      <c r="E7" s="2450">
        <f>'0.Basic Project Data'!H7</f>
        <v>0</v>
      </c>
      <c r="F7" s="2450"/>
      <c r="G7" s="2450"/>
      <c r="H7" s="2450"/>
      <c r="I7" s="1176"/>
      <c r="J7" s="1168"/>
      <c r="K7" s="1168"/>
      <c r="L7" s="2453"/>
      <c r="M7" s="2452"/>
      <c r="N7" s="2452"/>
      <c r="O7" s="1176"/>
      <c r="P7" s="2429" t="str">
        <f>'0.Basic Project Data'!C40</f>
        <v>G) Return Expectations</v>
      </c>
      <c r="Q7" s="2429"/>
      <c r="R7" s="2429"/>
      <c r="S7" s="2429"/>
      <c r="T7" s="2429"/>
      <c r="U7" s="2429"/>
      <c r="V7" s="2430"/>
      <c r="W7" s="1173"/>
    </row>
    <row r="8" spans="1:23" ht="14.55" customHeight="1" x14ac:dyDescent="0.3">
      <c r="A8" s="1173"/>
      <c r="B8" s="2440" t="str">
        <f>'0.Basic Project Data'!D12</f>
        <v>Sector</v>
      </c>
      <c r="C8" s="2441"/>
      <c r="D8" s="2441"/>
      <c r="E8" s="2445">
        <f>'0.Basic Project Data'!H12</f>
        <v>0</v>
      </c>
      <c r="F8" s="2445"/>
      <c r="G8" s="2445"/>
      <c r="H8" s="2445"/>
      <c r="I8" s="1176"/>
      <c r="J8" s="1168"/>
      <c r="K8" s="1168"/>
      <c r="L8" s="2453"/>
      <c r="M8" s="2452"/>
      <c r="N8" s="2452"/>
      <c r="O8" s="1176"/>
      <c r="P8" s="2428" t="str">
        <f>'0.Basic Project Data'!D41</f>
        <v>Project IRR (Base case)</v>
      </c>
      <c r="Q8" s="2428"/>
      <c r="R8" s="2428"/>
      <c r="S8" s="2428"/>
      <c r="T8" s="2444">
        <f>'0.Basic Project Data'!H41</f>
        <v>0</v>
      </c>
      <c r="U8" s="2444"/>
      <c r="V8" s="2449"/>
      <c r="W8" s="1173"/>
    </row>
    <row r="9" spans="1:23" ht="14.55" customHeight="1" x14ac:dyDescent="0.3">
      <c r="A9" s="1173"/>
      <c r="B9" s="2440" t="str">
        <f>'0.Basic Project Data'!D13</f>
        <v>Project type</v>
      </c>
      <c r="C9" s="2441"/>
      <c r="D9" s="2441"/>
      <c r="E9" s="2442" t="str">
        <f>'0.Basic Project Data'!H13</f>
        <v>Construction, Operations and Maintenance</v>
      </c>
      <c r="F9" s="2442"/>
      <c r="G9" s="2442"/>
      <c r="H9" s="2442"/>
      <c r="I9" s="1176"/>
      <c r="J9" s="1176"/>
      <c r="K9" s="1176"/>
      <c r="L9" s="1176"/>
      <c r="M9" s="1176"/>
      <c r="N9" s="1176"/>
      <c r="O9" s="1176"/>
      <c r="P9" s="2428" t="str">
        <f>'0.Basic Project Data'!D42</f>
        <v>Project IRR (Stress case)</v>
      </c>
      <c r="Q9" s="2428"/>
      <c r="R9" s="2428"/>
      <c r="S9" s="2428"/>
      <c r="T9" s="2444">
        <f>'0.Basic Project Data'!H42</f>
        <v>0</v>
      </c>
      <c r="U9" s="2444"/>
      <c r="V9" s="2449"/>
      <c r="W9" s="1173"/>
    </row>
    <row r="10" spans="1:23" ht="14.55" customHeight="1" x14ac:dyDescent="0.3">
      <c r="A10" s="1173"/>
      <c r="B10" s="1160"/>
      <c r="C10" s="1158"/>
      <c r="D10" s="1158"/>
      <c r="E10" s="1169"/>
      <c r="F10" s="1169"/>
      <c r="G10" s="1169"/>
      <c r="H10" s="1169"/>
      <c r="I10" s="1176"/>
      <c r="J10" s="1176"/>
      <c r="K10" s="1176"/>
      <c r="L10" s="1176"/>
      <c r="M10" s="1176"/>
      <c r="N10" s="1176"/>
      <c r="O10" s="1176"/>
      <c r="P10" s="2428" t="str">
        <f>'0.Basic Project Data'!D43</f>
        <v>Threshold Project IRR</v>
      </c>
      <c r="Q10" s="2428"/>
      <c r="R10" s="2428"/>
      <c r="S10" s="2428"/>
      <c r="T10" s="2444">
        <f>'0.Basic Project Data'!H43</f>
        <v>0</v>
      </c>
      <c r="U10" s="2444"/>
      <c r="V10" s="2449"/>
      <c r="W10" s="1173"/>
    </row>
    <row r="11" spans="1:23" ht="14.55" customHeight="1" x14ac:dyDescent="0.3">
      <c r="A11" s="1173"/>
      <c r="B11" s="1160"/>
      <c r="C11" s="1158"/>
      <c r="D11" s="1158"/>
      <c r="E11" s="1169"/>
      <c r="F11" s="1169"/>
      <c r="G11" s="1169"/>
      <c r="H11" s="1169"/>
      <c r="I11" s="1176"/>
      <c r="J11" s="1176"/>
      <c r="K11" s="1176"/>
      <c r="L11" s="1176"/>
      <c r="M11" s="1176"/>
      <c r="N11" s="1176"/>
      <c r="O11" s="1176"/>
      <c r="P11" s="2428" t="str">
        <f>'0.Basic Project Data'!D47</f>
        <v>Economic IRR</v>
      </c>
      <c r="Q11" s="2428"/>
      <c r="R11" s="2428"/>
      <c r="S11" s="2428"/>
      <c r="T11" s="2444">
        <f>'0.Basic Project Data'!H47</f>
        <v>0</v>
      </c>
      <c r="U11" s="2444"/>
      <c r="V11" s="2449"/>
      <c r="W11" s="1173"/>
    </row>
    <row r="12" spans="1:23" ht="14.55" customHeight="1" x14ac:dyDescent="0.3">
      <c r="A12" s="1173"/>
      <c r="B12" s="1160"/>
      <c r="C12" s="1158"/>
      <c r="D12" s="1158"/>
      <c r="E12" s="1169"/>
      <c r="F12" s="1169"/>
      <c r="G12" s="1169"/>
      <c r="H12" s="1169"/>
      <c r="I12" s="1176"/>
      <c r="J12" s="1176"/>
      <c r="K12" s="1176"/>
      <c r="L12" s="1176"/>
      <c r="M12" s="1176"/>
      <c r="N12" s="1176"/>
      <c r="O12" s="1176"/>
      <c r="P12" s="2428" t="str">
        <f>'0.Basic Project Data'!D46</f>
        <v>Threshold minimum DSCR</v>
      </c>
      <c r="Q12" s="2428"/>
      <c r="R12" s="2428"/>
      <c r="S12" s="2428"/>
      <c r="T12" s="2447">
        <f>'0.Basic Project Data'!H46</f>
        <v>0</v>
      </c>
      <c r="U12" s="2447"/>
      <c r="V12" s="2448"/>
      <c r="W12" s="1173"/>
    </row>
    <row r="13" spans="1:23" ht="14.55" customHeight="1" x14ac:dyDescent="0.3">
      <c r="A13" s="1173"/>
      <c r="B13" s="1160"/>
      <c r="C13" s="1158"/>
      <c r="D13" s="1158"/>
      <c r="E13" s="1169"/>
      <c r="F13" s="1169"/>
      <c r="G13" s="1169"/>
      <c r="H13" s="1169"/>
      <c r="I13" s="1176"/>
      <c r="J13" s="1176"/>
      <c r="K13" s="1176"/>
      <c r="L13" s="1176"/>
      <c r="M13" s="1176"/>
      <c r="N13" s="1176"/>
      <c r="O13" s="1176"/>
      <c r="P13" s="2428" t="str">
        <f>'0.Basic Project Data'!D44</f>
        <v>Minimum DSCR (Base case)</v>
      </c>
      <c r="Q13" s="2428"/>
      <c r="R13" s="2428"/>
      <c r="S13" s="2428"/>
      <c r="T13" s="2447">
        <f>'0.Basic Project Data'!H44</f>
        <v>0</v>
      </c>
      <c r="U13" s="2447"/>
      <c r="V13" s="2448"/>
      <c r="W13" s="1173"/>
    </row>
    <row r="14" spans="1:23" ht="14.55" customHeight="1" x14ac:dyDescent="0.3">
      <c r="A14" s="1173"/>
      <c r="B14" s="1183"/>
      <c r="C14" s="1184"/>
      <c r="D14" s="1184"/>
      <c r="E14" s="1184"/>
      <c r="F14" s="1184"/>
      <c r="G14" s="1184"/>
      <c r="H14" s="1184"/>
      <c r="I14" s="228"/>
      <c r="J14" s="228"/>
      <c r="K14" s="228"/>
      <c r="L14" s="228"/>
      <c r="M14" s="228"/>
      <c r="N14" s="228"/>
      <c r="O14" s="228"/>
      <c r="P14" s="2428" t="str">
        <f>'0.Basic Project Data'!D45</f>
        <v>Minimum DSCR (Stress case)</v>
      </c>
      <c r="Q14" s="2428"/>
      <c r="R14" s="2428"/>
      <c r="S14" s="2428"/>
      <c r="T14" s="2447">
        <f>'0.Basic Project Data'!H45</f>
        <v>0</v>
      </c>
      <c r="U14" s="2447"/>
      <c r="V14" s="2448"/>
      <c r="W14" s="1173"/>
    </row>
    <row r="15" spans="1:23" ht="14.55" customHeight="1" x14ac:dyDescent="0.3">
      <c r="A15" s="1173"/>
      <c r="B15" s="1183"/>
      <c r="C15" s="1184"/>
      <c r="D15" s="1184"/>
      <c r="E15" s="1184"/>
      <c r="F15" s="1184"/>
      <c r="G15" s="1184"/>
      <c r="H15" s="1184"/>
      <c r="I15" s="228"/>
      <c r="J15" s="228"/>
      <c r="K15" s="228"/>
      <c r="L15" s="228"/>
      <c r="M15" s="228"/>
      <c r="N15" s="228"/>
      <c r="O15" s="228"/>
      <c r="P15" s="2428" t="str">
        <f>'0.Basic Project Data'!D48</f>
        <v>Threshold economic IRR</v>
      </c>
      <c r="Q15" s="2428"/>
      <c r="R15" s="2428"/>
      <c r="S15" s="2428"/>
      <c r="T15" s="2444">
        <f>'0.Basic Project Data'!H48</f>
        <v>0</v>
      </c>
      <c r="U15" s="2445"/>
      <c r="V15" s="2446"/>
      <c r="W15" s="1173"/>
    </row>
    <row r="16" spans="1:23" ht="14.55" customHeight="1" x14ac:dyDescent="0.3">
      <c r="A16" s="1173"/>
      <c r="B16" s="1185" t="str">
        <f>'0.Basic Project Data'!C17</f>
        <v>B) Prerequisite Conditions</v>
      </c>
      <c r="C16" s="228"/>
      <c r="D16" s="228"/>
      <c r="E16" s="228"/>
      <c r="F16" s="228"/>
      <c r="G16" s="228"/>
      <c r="H16" s="228"/>
      <c r="I16" s="228"/>
      <c r="J16" s="228"/>
      <c r="K16" s="228"/>
      <c r="L16" s="228"/>
      <c r="M16" s="228"/>
      <c r="N16" s="228"/>
      <c r="O16" s="228"/>
      <c r="P16" s="228"/>
      <c r="Q16" s="228"/>
      <c r="R16" s="228"/>
      <c r="S16" s="228"/>
      <c r="T16" s="2456" t="str">
        <f>IF('Data Analysis'!E248=0,"Not Applicable","Response")</f>
        <v>Response</v>
      </c>
      <c r="U16" s="2456"/>
      <c r="V16" s="2457"/>
      <c r="W16" s="1173"/>
    </row>
    <row r="17" spans="1:23" ht="14.55" customHeight="1" x14ac:dyDescent="0.3">
      <c r="A17" s="1173"/>
      <c r="B17" s="2426" t="str">
        <f>Dashboard!C30</f>
        <v>Is the project derived from a national plan or other medium- to long-term strategic document that establishes the development priorities at the highest levels of the government?</v>
      </c>
      <c r="C17" s="2427"/>
      <c r="D17" s="2427"/>
      <c r="E17" s="2427"/>
      <c r="F17" s="2427"/>
      <c r="G17" s="2427"/>
      <c r="H17" s="2427"/>
      <c r="I17" s="2427"/>
      <c r="J17" s="2427"/>
      <c r="K17" s="2427"/>
      <c r="L17" s="2427"/>
      <c r="M17" s="2427"/>
      <c r="N17" s="2427"/>
      <c r="O17" s="2427"/>
      <c r="P17" s="2427"/>
      <c r="Q17" s="2427"/>
      <c r="R17" s="2427"/>
      <c r="S17" s="2427"/>
      <c r="T17" s="2444" t="str">
        <f>'0.Basic Project Data'!H18</f>
        <v>Yes</v>
      </c>
      <c r="U17" s="2444"/>
      <c r="V17" s="2449"/>
      <c r="W17" s="1173"/>
    </row>
    <row r="18" spans="1:23" ht="14.55" customHeight="1" x14ac:dyDescent="0.3">
      <c r="A18" s="1173"/>
      <c r="B18" s="2426" t="str">
        <f>Dashboard!C31</f>
        <v>Is the project likely to be economically sound and have direct benefits that are significantly greater than the costs?</v>
      </c>
      <c r="C18" s="2427"/>
      <c r="D18" s="2427"/>
      <c r="E18" s="2427"/>
      <c r="F18" s="2427"/>
      <c r="G18" s="2427"/>
      <c r="H18" s="2427"/>
      <c r="I18" s="2427"/>
      <c r="J18" s="2427"/>
      <c r="K18" s="2427"/>
      <c r="L18" s="2427"/>
      <c r="M18" s="2427"/>
      <c r="N18" s="2427"/>
      <c r="O18" s="2427"/>
      <c r="P18" s="2427"/>
      <c r="Q18" s="2427"/>
      <c r="R18" s="2427"/>
      <c r="S18" s="2427"/>
      <c r="T18" s="2444" t="str">
        <f>'0.Basic Project Data'!H19</f>
        <v>Yes</v>
      </c>
      <c r="U18" s="2444"/>
      <c r="V18" s="2449"/>
      <c r="W18" s="1173"/>
    </row>
    <row r="19" spans="1:23" ht="14.55" customHeight="1" x14ac:dyDescent="0.3">
      <c r="A19" s="1173"/>
      <c r="B19" s="2426" t="str">
        <f>Dashboard!C32</f>
        <v>Do sector laws, regulations or policies allow private sector participation in the project?</v>
      </c>
      <c r="C19" s="2427"/>
      <c r="D19" s="2427"/>
      <c r="E19" s="2427"/>
      <c r="F19" s="2427"/>
      <c r="G19" s="2427"/>
      <c r="H19" s="2427"/>
      <c r="I19" s="2427"/>
      <c r="J19" s="2427"/>
      <c r="K19" s="2427"/>
      <c r="L19" s="2427"/>
      <c r="M19" s="2427"/>
      <c r="N19" s="2427"/>
      <c r="O19" s="2427"/>
      <c r="P19" s="2427"/>
      <c r="Q19" s="2427"/>
      <c r="R19" s="2427"/>
      <c r="S19" s="2427"/>
      <c r="T19" s="2444" t="str">
        <f>'0.Basic Project Data'!H20</f>
        <v>Yes</v>
      </c>
      <c r="U19" s="2444"/>
      <c r="V19" s="2449"/>
      <c r="W19" s="1173"/>
    </row>
    <row r="20" spans="1:23" ht="14.55" customHeight="1" x14ac:dyDescent="0.3">
      <c r="A20" s="1173"/>
      <c r="B20" s="1185" t="s">
        <v>346</v>
      </c>
      <c r="C20" s="228"/>
      <c r="D20" s="228"/>
      <c r="E20" s="228"/>
      <c r="F20" s="228"/>
      <c r="G20" s="228"/>
      <c r="H20" s="228"/>
      <c r="I20" s="228"/>
      <c r="J20" s="228"/>
      <c r="K20" s="228"/>
      <c r="L20" s="228"/>
      <c r="M20" s="228"/>
      <c r="N20" s="228"/>
      <c r="O20" s="228"/>
      <c r="P20" s="228"/>
      <c r="Q20" s="228"/>
      <c r="R20" s="228"/>
      <c r="S20" s="228"/>
      <c r="T20" s="2456" t="str">
        <f>IF('Data Analysis'!E252=0,"Not Applicable","Response")</f>
        <v>Response</v>
      </c>
      <c r="U20" s="2456"/>
      <c r="V20" s="2457"/>
      <c r="W20" s="1173"/>
    </row>
    <row r="21" spans="1:23" ht="14.55" customHeight="1" x14ac:dyDescent="0.3">
      <c r="A21" s="1173"/>
      <c r="B21" s="2426" t="str">
        <f>Dashboard!C35</f>
        <v>Is there a clear articulation and substantiation of the service deficiency?</v>
      </c>
      <c r="C21" s="2427"/>
      <c r="D21" s="2427"/>
      <c r="E21" s="2427"/>
      <c r="F21" s="2427"/>
      <c r="G21" s="2427"/>
      <c r="H21" s="2427"/>
      <c r="I21" s="2427"/>
      <c r="J21" s="2427"/>
      <c r="K21" s="2427"/>
      <c r="L21" s="2427"/>
      <c r="M21" s="2427"/>
      <c r="N21" s="2427"/>
      <c r="O21" s="2427"/>
      <c r="P21" s="2427"/>
      <c r="Q21" s="2427"/>
      <c r="R21" s="2427"/>
      <c r="S21" s="2427"/>
      <c r="T21" s="2444" t="str">
        <f>'Data Analysis'!F253</f>
        <v>Yes</v>
      </c>
      <c r="U21" s="2444"/>
      <c r="V21" s="2449"/>
      <c r="W21" s="1173"/>
    </row>
    <row r="22" spans="1:23" ht="14.55" customHeight="1" x14ac:dyDescent="0.3">
      <c r="A22" s="1173"/>
      <c r="B22" s="2426" t="str">
        <f>Dashboard!C36</f>
        <v>Has there been an assessment of all possible technical solutions to address the identified need?</v>
      </c>
      <c r="C22" s="2427"/>
      <c r="D22" s="2427"/>
      <c r="E22" s="2427"/>
      <c r="F22" s="2427"/>
      <c r="G22" s="2427"/>
      <c r="H22" s="2427"/>
      <c r="I22" s="2427"/>
      <c r="J22" s="2427"/>
      <c r="K22" s="2427"/>
      <c r="L22" s="2427"/>
      <c r="M22" s="2427"/>
      <c r="N22" s="2427"/>
      <c r="O22" s="2427"/>
      <c r="P22" s="2427"/>
      <c r="Q22" s="2427"/>
      <c r="R22" s="2427"/>
      <c r="S22" s="2427"/>
      <c r="T22" s="2444" t="str">
        <f>'Data Analysis'!F254</f>
        <v>Yes</v>
      </c>
      <c r="U22" s="2444"/>
      <c r="V22" s="2449"/>
      <c r="W22" s="1173"/>
    </row>
    <row r="23" spans="1:23" ht="14.55" customHeight="1" x14ac:dyDescent="0.3">
      <c r="A23" s="1173"/>
      <c r="B23" s="2426" t="str">
        <f>Dashboard!C37</f>
        <v>Are the technical cost estimates in line with required output specifications and based on established benchmarks?</v>
      </c>
      <c r="C23" s="2427"/>
      <c r="D23" s="2427"/>
      <c r="E23" s="2427"/>
      <c r="F23" s="2427"/>
      <c r="G23" s="2427"/>
      <c r="H23" s="2427"/>
      <c r="I23" s="2427"/>
      <c r="J23" s="2427"/>
      <c r="K23" s="2427"/>
      <c r="L23" s="2427"/>
      <c r="M23" s="2427"/>
      <c r="N23" s="2427"/>
      <c r="O23" s="2427"/>
      <c r="P23" s="2427"/>
      <c r="Q23" s="2427"/>
      <c r="R23" s="2427"/>
      <c r="S23" s="2427"/>
      <c r="T23" s="2444" t="str">
        <f>'Data Analysis'!F255</f>
        <v>Yes</v>
      </c>
      <c r="U23" s="2444"/>
      <c r="V23" s="2449"/>
      <c r="W23" s="1173"/>
    </row>
    <row r="24" spans="1:23" ht="14.55" customHeight="1" x14ac:dyDescent="0.3">
      <c r="A24" s="1173"/>
      <c r="B24" s="2426" t="str">
        <f>Dashboard!C38</f>
        <v xml:space="preserve">Is the proposed site location adequately accessible and offers manageable challenges during construction?  </v>
      </c>
      <c r="C24" s="2427"/>
      <c r="D24" s="2427"/>
      <c r="E24" s="2427"/>
      <c r="F24" s="2427"/>
      <c r="G24" s="2427"/>
      <c r="H24" s="2427"/>
      <c r="I24" s="2427"/>
      <c r="J24" s="2427"/>
      <c r="K24" s="2427"/>
      <c r="L24" s="2427"/>
      <c r="M24" s="2427"/>
      <c r="N24" s="2427"/>
      <c r="O24" s="2427"/>
      <c r="P24" s="2427"/>
      <c r="Q24" s="2427"/>
      <c r="R24" s="2427"/>
      <c r="S24" s="2427"/>
      <c r="T24" s="2444" t="str">
        <f>'Data Analysis'!F256</f>
        <v>Yes</v>
      </c>
      <c r="U24" s="2444"/>
      <c r="V24" s="2449"/>
      <c r="W24" s="1173"/>
    </row>
    <row r="25" spans="1:23" ht="14.55" customHeight="1" x14ac:dyDescent="0.3">
      <c r="A25" s="1173"/>
      <c r="B25" s="2426" t="str">
        <f>Dashboard!C39</f>
        <v>Will the project have any significant negative impact on any natural resources or protected land?</v>
      </c>
      <c r="C25" s="2427"/>
      <c r="D25" s="2427"/>
      <c r="E25" s="2427"/>
      <c r="F25" s="2427"/>
      <c r="G25" s="2427"/>
      <c r="H25" s="2427"/>
      <c r="I25" s="2427"/>
      <c r="J25" s="2427"/>
      <c r="K25" s="2427"/>
      <c r="L25" s="2427"/>
      <c r="M25" s="2427"/>
      <c r="N25" s="2427"/>
      <c r="O25" s="2427"/>
      <c r="P25" s="2427"/>
      <c r="Q25" s="2427"/>
      <c r="R25" s="2427"/>
      <c r="S25" s="2427"/>
      <c r="T25" s="2444" t="str">
        <f>'Data Analysis'!F257</f>
        <v>Yes</v>
      </c>
      <c r="U25" s="2444"/>
      <c r="V25" s="2449"/>
      <c r="W25" s="1173"/>
    </row>
    <row r="26" spans="1:23" ht="14.55" customHeight="1" x14ac:dyDescent="0.3">
      <c r="A26" s="1173"/>
      <c r="B26" s="2426" t="str">
        <f>Dashboard!C40</f>
        <v>The project is likely to be socially sustainable or have manageable social impacts?</v>
      </c>
      <c r="C26" s="2427"/>
      <c r="D26" s="2427"/>
      <c r="E26" s="2427"/>
      <c r="F26" s="2427"/>
      <c r="G26" s="2427"/>
      <c r="H26" s="2427"/>
      <c r="I26" s="2427"/>
      <c r="J26" s="2427"/>
      <c r="K26" s="2427"/>
      <c r="L26" s="2427"/>
      <c r="M26" s="2427"/>
      <c r="N26" s="2427"/>
      <c r="O26" s="2427"/>
      <c r="P26" s="2427"/>
      <c r="Q26" s="2427"/>
      <c r="R26" s="2427"/>
      <c r="S26" s="2427"/>
      <c r="T26" s="2444" t="str">
        <f>'Data Analysis'!F258</f>
        <v>Yes</v>
      </c>
      <c r="U26" s="2444"/>
      <c r="V26" s="2449"/>
      <c r="W26" s="1173"/>
    </row>
    <row r="27" spans="1:23" ht="14.55" customHeight="1" x14ac:dyDescent="0.3">
      <c r="A27" s="1173"/>
      <c r="B27" s="2426" t="str">
        <f>Dashboard!C41</f>
        <v>Is there support for the project from affected communities and other key stakeholders?</v>
      </c>
      <c r="C27" s="2427"/>
      <c r="D27" s="2427"/>
      <c r="E27" s="2427"/>
      <c r="F27" s="2427"/>
      <c r="G27" s="2427"/>
      <c r="H27" s="2427"/>
      <c r="I27" s="2427"/>
      <c r="J27" s="2427"/>
      <c r="K27" s="2427"/>
      <c r="L27" s="2427"/>
      <c r="M27" s="2427"/>
      <c r="N27" s="2427"/>
      <c r="O27" s="2427"/>
      <c r="P27" s="2427"/>
      <c r="Q27" s="2427"/>
      <c r="R27" s="2427"/>
      <c r="S27" s="2427"/>
      <c r="T27" s="2444" t="str">
        <f>'Data Analysis'!F259</f>
        <v>N/A</v>
      </c>
      <c r="U27" s="2444"/>
      <c r="V27" s="2449"/>
      <c r="W27" s="1173"/>
    </row>
    <row r="28" spans="1:23" ht="14.55" customHeight="1" x14ac:dyDescent="0.3">
      <c r="A28" s="1173"/>
      <c r="B28" s="2426" t="str">
        <f>Dashboard!C42</f>
        <v>Is the collective impact of fiscal commitments likely to be within acceptable levels and not have a significant adverse impact on government's future budgets or fiscal space?</v>
      </c>
      <c r="C28" s="2427"/>
      <c r="D28" s="2427"/>
      <c r="E28" s="2427"/>
      <c r="F28" s="2427"/>
      <c r="G28" s="2427"/>
      <c r="H28" s="2427"/>
      <c r="I28" s="2427"/>
      <c r="J28" s="2427"/>
      <c r="K28" s="2427"/>
      <c r="L28" s="2427"/>
      <c r="M28" s="2427"/>
      <c r="N28" s="2427"/>
      <c r="O28" s="2427"/>
      <c r="P28" s="2427"/>
      <c r="Q28" s="2427"/>
      <c r="R28" s="2427"/>
      <c r="S28" s="2427"/>
      <c r="T28" s="2444" t="str">
        <f>'Data Analysis'!F260</f>
        <v>Yes</v>
      </c>
      <c r="U28" s="2444"/>
      <c r="V28" s="2449"/>
      <c r="W28" s="1173"/>
    </row>
    <row r="29" spans="1:23" ht="14.55" customHeight="1" x14ac:dyDescent="0.3">
      <c r="A29" s="1173"/>
      <c r="B29" s="2426" t="str">
        <f>Dashboard!C43</f>
        <v>Are the life cycle costs for major components of the project - reasonable and affordable?</v>
      </c>
      <c r="C29" s="2427"/>
      <c r="D29" s="2427"/>
      <c r="E29" s="2427"/>
      <c r="F29" s="2427"/>
      <c r="G29" s="2427"/>
      <c r="H29" s="2427"/>
      <c r="I29" s="2427"/>
      <c r="J29" s="2427"/>
      <c r="K29" s="2427"/>
      <c r="L29" s="2427"/>
      <c r="M29" s="2427"/>
      <c r="N29" s="2427"/>
      <c r="O29" s="2427"/>
      <c r="P29" s="2427"/>
      <c r="Q29" s="2427"/>
      <c r="R29" s="2427"/>
      <c r="S29" s="2427"/>
      <c r="T29" s="2444" t="str">
        <f>'Data Analysis'!F261</f>
        <v>Yes</v>
      </c>
      <c r="U29" s="2444"/>
      <c r="V29" s="2449"/>
      <c r="W29" s="1173"/>
    </row>
    <row r="30" spans="1:23" ht="14.55" customHeight="1" x14ac:dyDescent="0.3">
      <c r="A30" s="1173"/>
      <c r="B30" s="2426" t="str">
        <f>Dashboard!C44</f>
        <v>Will the project have any significant adverse impact on health or quality of life of users, workers and local population.</v>
      </c>
      <c r="C30" s="2427"/>
      <c r="D30" s="2427"/>
      <c r="E30" s="2427"/>
      <c r="F30" s="2427"/>
      <c r="G30" s="2427"/>
      <c r="H30" s="2427"/>
      <c r="I30" s="2427"/>
      <c r="J30" s="2427"/>
      <c r="K30" s="2427"/>
      <c r="L30" s="2427"/>
      <c r="M30" s="2427"/>
      <c r="N30" s="2427"/>
      <c r="O30" s="2427"/>
      <c r="P30" s="2427"/>
      <c r="Q30" s="2427"/>
      <c r="R30" s="2427"/>
      <c r="S30" s="2427"/>
      <c r="T30" s="2444" t="str">
        <f>'Data Analysis'!F262</f>
        <v>Yes</v>
      </c>
      <c r="U30" s="2444"/>
      <c r="V30" s="2449"/>
      <c r="W30" s="1173"/>
    </row>
    <row r="31" spans="1:23" ht="14.55" customHeight="1" x14ac:dyDescent="0.3">
      <c r="A31" s="1173"/>
      <c r="B31" s="2426" t="str">
        <f>Dashboard!C45</f>
        <v>Is there a plan to address the legal barriers through appropriate executive action or legislative reforms?</v>
      </c>
      <c r="C31" s="2427"/>
      <c r="D31" s="2427"/>
      <c r="E31" s="2427"/>
      <c r="F31" s="2427"/>
      <c r="G31" s="2427"/>
      <c r="H31" s="2427"/>
      <c r="I31" s="2427"/>
      <c r="J31" s="2427"/>
      <c r="K31" s="2427"/>
      <c r="L31" s="2427"/>
      <c r="M31" s="2427"/>
      <c r="N31" s="2427"/>
      <c r="O31" s="2427"/>
      <c r="P31" s="2427"/>
      <c r="Q31" s="2427"/>
      <c r="R31" s="2427"/>
      <c r="S31" s="2427"/>
      <c r="T31" s="2444" t="str">
        <f>'Data Analysis'!F263</f>
        <v>Yes</v>
      </c>
      <c r="U31" s="2444"/>
      <c r="V31" s="2449"/>
      <c r="W31" s="1173"/>
    </row>
    <row r="32" spans="1:23" ht="14.55" customHeight="1" x14ac:dyDescent="0.3">
      <c r="A32" s="1173"/>
      <c r="B32" s="2426" t="str">
        <f>Dashboard!C46</f>
        <v>Are there financiers (nationally or regionally) who will be interested in the PPP?</v>
      </c>
      <c r="C32" s="2427"/>
      <c r="D32" s="2427"/>
      <c r="E32" s="2427"/>
      <c r="F32" s="2427"/>
      <c r="G32" s="2427"/>
      <c r="H32" s="2427"/>
      <c r="I32" s="2427"/>
      <c r="J32" s="2427"/>
      <c r="K32" s="2427"/>
      <c r="L32" s="2427"/>
      <c r="M32" s="2427"/>
      <c r="N32" s="2427"/>
      <c r="O32" s="2427"/>
      <c r="P32" s="2427"/>
      <c r="Q32" s="2427"/>
      <c r="R32" s="2427"/>
      <c r="S32" s="2427"/>
      <c r="T32" s="2444" t="str">
        <f>'Data Analysis'!F264</f>
        <v>Yes</v>
      </c>
      <c r="U32" s="2444"/>
      <c r="V32" s="2449"/>
      <c r="W32" s="1173"/>
    </row>
    <row r="33" spans="1:23" ht="14.55" customHeight="1" x14ac:dyDescent="0.3">
      <c r="A33" s="1173"/>
      <c r="B33" s="2443" t="str">
        <f>'0.Basic Project Data'!C21</f>
        <v>C) Revenue Profile</v>
      </c>
      <c r="C33" s="2429"/>
      <c r="D33" s="2429"/>
      <c r="E33" s="2429"/>
      <c r="F33" s="2429"/>
      <c r="G33" s="2429"/>
      <c r="H33" s="2429"/>
      <c r="I33" s="228"/>
      <c r="J33" s="2429" t="str">
        <f>'0.Basic Project Data'!C29</f>
        <v>E) Land Status</v>
      </c>
      <c r="K33" s="2429"/>
      <c r="L33" s="2429"/>
      <c r="M33" s="2429"/>
      <c r="N33" s="2429"/>
      <c r="O33" s="228"/>
      <c r="P33" s="2429" t="str">
        <f>'0.Basic Project Data'!C50</f>
        <v>H) Foreign Exchange Risk Profile</v>
      </c>
      <c r="Q33" s="2429"/>
      <c r="R33" s="2429"/>
      <c r="S33" s="2429"/>
      <c r="T33" s="2429"/>
      <c r="U33" s="2429"/>
      <c r="V33" s="2430"/>
      <c r="W33" s="1173"/>
    </row>
    <row r="34" spans="1:23" ht="28.5" customHeight="1" x14ac:dyDescent="0.3">
      <c r="A34" s="1173"/>
      <c r="B34" s="2440" t="str">
        <f>'0.Basic Project Data'!D22</f>
        <v>Main source of project revenues</v>
      </c>
      <c r="C34" s="2441"/>
      <c r="D34" s="2441"/>
      <c r="E34" s="2441"/>
      <c r="F34" s="2441"/>
      <c r="G34" s="2441"/>
      <c r="H34" s="1307" t="str">
        <f>'0.Basic Project Data'!H22</f>
        <v>Hybrid Payments</v>
      </c>
      <c r="I34" s="228"/>
      <c r="J34" s="1157" t="str">
        <f>'0.Basic Project Data'!D30</f>
        <v>Land unit</v>
      </c>
      <c r="K34" s="1157"/>
      <c r="L34" s="1157"/>
      <c r="M34" s="1157"/>
      <c r="N34" s="1186" t="str">
        <f>'0.Basic Project Data'!H30</f>
        <v>Hectares</v>
      </c>
      <c r="O34" s="228"/>
      <c r="P34" s="2428" t="str">
        <f>'0.Basic Project Data'!D51</f>
        <v>Will the project be exposed to foreign exchange risk?</v>
      </c>
      <c r="Q34" s="2428"/>
      <c r="R34" s="2428"/>
      <c r="S34" s="2428"/>
      <c r="T34" s="2428"/>
      <c r="U34" s="2428"/>
      <c r="V34" s="1144" t="str">
        <f>'0.Basic Project Data'!H51</f>
        <v>Yes</v>
      </c>
      <c r="W34" s="1173"/>
    </row>
    <row r="35" spans="1:23" ht="14.55" customHeight="1" x14ac:dyDescent="0.3">
      <c r="A35" s="1173"/>
      <c r="B35" s="2454" t="str">
        <f>'0.Basic Project Data'!D23</f>
        <v>Percentage share of Availability Payments in the total revenue</v>
      </c>
      <c r="C35" s="2455"/>
      <c r="D35" s="2455"/>
      <c r="E35" s="2455"/>
      <c r="F35" s="2455"/>
      <c r="G35" s="2455"/>
      <c r="H35" s="1226" t="str">
        <f>IF(H34="Hybrid",'0.Basic Project Data'!H23,"")</f>
        <v/>
      </c>
      <c r="I35" s="1176"/>
      <c r="J35" s="1157" t="str">
        <f>'0.Basic Project Data'!D32</f>
        <v>Total land required for the project</v>
      </c>
      <c r="K35" s="1157"/>
      <c r="L35" s="1157"/>
      <c r="M35" s="1157"/>
      <c r="N35" s="1187">
        <f>IF('0.Basic Project Data'!$H$31="yes",'0.Basic Project Data'!H32,0)</f>
        <v>0</v>
      </c>
      <c r="O35" s="1176"/>
      <c r="P35" s="2435" t="str">
        <f>'0.Basic Project Data'!D52</f>
        <v>What has been the five-year average national currency depreciation vis-à-vis a benchmark currency?</v>
      </c>
      <c r="Q35" s="2435"/>
      <c r="R35" s="2435"/>
      <c r="S35" s="2435"/>
      <c r="T35" s="2435"/>
      <c r="U35" s="2435"/>
      <c r="V35" s="2465">
        <f>'0.Basic Project Data'!H52</f>
        <v>0</v>
      </c>
      <c r="W35" s="1173"/>
    </row>
    <row r="36" spans="1:23" ht="14.55" customHeight="1" x14ac:dyDescent="0.3">
      <c r="A36" s="1173"/>
      <c r="B36" s="2443" t="str">
        <f>'0.Basic Project Data'!C24</f>
        <v>D) Government Support</v>
      </c>
      <c r="C36" s="2429"/>
      <c r="D36" s="2429"/>
      <c r="E36" s="2429"/>
      <c r="F36" s="2429"/>
      <c r="G36" s="2429"/>
      <c r="H36" s="2429"/>
      <c r="I36" s="1176"/>
      <c r="J36" s="1157" t="str">
        <f>'0.Basic Project Data'!D33</f>
        <v>Land available for the project</v>
      </c>
      <c r="K36" s="1157"/>
      <c r="L36" s="1157"/>
      <c r="M36" s="1157"/>
      <c r="N36" s="1187">
        <f>IF('0.Basic Project Data'!$H$31="Yes",'0.Basic Project Data'!H33,0)</f>
        <v>0</v>
      </c>
      <c r="O36" s="1176"/>
      <c r="P36" s="2435"/>
      <c r="Q36" s="2435"/>
      <c r="R36" s="2435"/>
      <c r="S36" s="2435"/>
      <c r="T36" s="2435"/>
      <c r="U36" s="2435"/>
      <c r="V36" s="2466"/>
      <c r="W36" s="1173"/>
    </row>
    <row r="37" spans="1:23" ht="14.55" customHeight="1" x14ac:dyDescent="0.3">
      <c r="A37" s="1173"/>
      <c r="B37" s="2454" t="str">
        <f>'0.Basic Project Data'!D25</f>
        <v>Is government support required for the project?</v>
      </c>
      <c r="C37" s="2455"/>
      <c r="D37" s="2455"/>
      <c r="E37" s="2455"/>
      <c r="F37" s="2455"/>
      <c r="G37" s="2455"/>
      <c r="H37" s="1225" t="str">
        <f>'0.Basic Project Data'!H25</f>
        <v>Yes</v>
      </c>
      <c r="I37" s="1176"/>
      <c r="J37" s="1157" t="str">
        <f>'0.Basic Project Data'!D34</f>
        <v>Land to be acquired</v>
      </c>
      <c r="K37" s="1157"/>
      <c r="L37" s="1157"/>
      <c r="M37" s="1157"/>
      <c r="N37" s="1187">
        <f>IF('0.Basic Project Data'!$H$31="yes",'0.Basic Project Data'!H34,0)</f>
        <v>0</v>
      </c>
      <c r="O37" s="1176"/>
      <c r="P37" s="2429" t="str">
        <f>'0.Basic Project Data'!C53</f>
        <v>I) Climate Change and Resilience Profile</v>
      </c>
      <c r="Q37" s="2429"/>
      <c r="R37" s="2429"/>
      <c r="S37" s="2429"/>
      <c r="T37" s="2429"/>
      <c r="U37" s="2429"/>
      <c r="V37" s="2430"/>
      <c r="W37" s="1173"/>
    </row>
    <row r="38" spans="1:23" ht="33" customHeight="1" x14ac:dyDescent="0.3">
      <c r="A38" s="1173"/>
      <c r="B38" s="1181" t="str">
        <f>'0.Basic Project Data'!D26</f>
        <v>Direct commitments by the government</v>
      </c>
      <c r="C38" s="1182"/>
      <c r="D38" s="1182"/>
      <c r="E38" s="1182"/>
      <c r="F38" s="1182"/>
      <c r="G38" s="1182"/>
      <c r="H38" s="2035">
        <f>'0.Basic Project Data'!H26</f>
        <v>0</v>
      </c>
      <c r="I38" s="1176"/>
      <c r="J38" s="1157" t="str">
        <f>'0.Basic Project Data'!D35</f>
        <v>Potential land owners and project affected parties</v>
      </c>
      <c r="K38" s="1157"/>
      <c r="L38" s="1157"/>
      <c r="M38" s="1157"/>
      <c r="N38" s="1187">
        <f>'0.Basic Project Data'!H35</f>
        <v>0</v>
      </c>
      <c r="O38" s="1176"/>
      <c r="P38" s="2433" t="str">
        <f>'0.Basic Project Data'!D54</f>
        <v>Reduction in Green House Gas (GHG) emissions</v>
      </c>
      <c r="Q38" s="2433"/>
      <c r="R38" s="2433"/>
      <c r="S38" s="2433"/>
      <c r="T38" s="2431" t="str">
        <f>'0.Basic Project Data'!H54</f>
        <v>Not Used</v>
      </c>
      <c r="U38" s="2431"/>
      <c r="V38" s="2431"/>
      <c r="W38" s="1173"/>
    </row>
    <row r="39" spans="1:23" ht="48" customHeight="1" x14ac:dyDescent="0.3">
      <c r="A39" s="1173"/>
      <c r="B39" s="1181" t="str">
        <f>'0.Basic Project Data'!D27</f>
        <v>Contingent liabilities</v>
      </c>
      <c r="C39" s="1182"/>
      <c r="D39" s="1182"/>
      <c r="E39" s="1182"/>
      <c r="F39" s="1182"/>
      <c r="G39" s="1182"/>
      <c r="H39" s="2035">
        <f>'0.Basic Project Data'!H27</f>
        <v>0</v>
      </c>
      <c r="I39" s="1176"/>
      <c r="J39" s="1157" t="str">
        <f>'0.Basic Project Data'!D36</f>
        <v>Responsibilty of land acquisition</v>
      </c>
      <c r="K39" s="1157"/>
      <c r="L39" s="1157"/>
      <c r="M39" s="1157"/>
      <c r="N39" s="1187" t="str">
        <f>'0.Basic Project Data'!H36</f>
        <v>Public Sector</v>
      </c>
      <c r="O39" s="1176"/>
      <c r="P39" s="2434" t="str">
        <f>'0.Basic Project Data'!D55</f>
        <v>Resilience and adaptability to long term climate changes and hazards</v>
      </c>
      <c r="Q39" s="2434"/>
      <c r="R39" s="2434"/>
      <c r="S39" s="2434"/>
      <c r="T39" s="2432" t="str">
        <f>'0.Basic Project Data'!H55</f>
        <v>Not used</v>
      </c>
      <c r="U39" s="2432"/>
      <c r="V39" s="2432"/>
      <c r="W39" s="1173"/>
    </row>
    <row r="40" spans="1:23" ht="14.55" customHeight="1" x14ac:dyDescent="0.3">
      <c r="A40" s="1173"/>
      <c r="B40" s="1173"/>
      <c r="C40" s="1173"/>
      <c r="D40" s="1173"/>
      <c r="E40" s="1173"/>
      <c r="F40" s="1173"/>
      <c r="G40" s="1173"/>
      <c r="H40" s="1173"/>
      <c r="I40" s="1173"/>
      <c r="J40" s="1173"/>
      <c r="K40" s="1173"/>
      <c r="L40" s="1173"/>
      <c r="M40" s="1173"/>
      <c r="N40" s="1173"/>
      <c r="O40" s="1173"/>
      <c r="P40" s="1173"/>
      <c r="Q40" s="1173"/>
      <c r="R40" s="1173"/>
      <c r="S40" s="1173"/>
      <c r="T40" s="1173"/>
      <c r="U40" s="1173"/>
      <c r="V40" s="1173"/>
      <c r="W40" s="1173"/>
    </row>
    <row r="41" spans="1:23" ht="14.55" customHeight="1" x14ac:dyDescent="0.3">
      <c r="A41" s="1173"/>
      <c r="B41" s="1188" t="s">
        <v>239</v>
      </c>
      <c r="C41" s="1189"/>
      <c r="D41" s="1189"/>
      <c r="E41" s="1189"/>
      <c r="F41" s="1189"/>
      <c r="G41" s="1189"/>
      <c r="H41" s="1189"/>
      <c r="I41" s="1189"/>
      <c r="J41" s="1189"/>
      <c r="K41" s="1189"/>
      <c r="L41" s="1189"/>
      <c r="M41" s="1189"/>
      <c r="N41" s="1189"/>
      <c r="O41" s="1189"/>
      <c r="P41" s="1189"/>
      <c r="Q41" s="1189"/>
      <c r="R41" s="1189"/>
      <c r="S41" s="1189"/>
      <c r="T41" s="1189"/>
      <c r="U41" s="1189"/>
      <c r="V41" s="1190"/>
      <c r="W41" s="1173"/>
    </row>
    <row r="42" spans="1:23" ht="14.55" customHeight="1" x14ac:dyDescent="0.3">
      <c r="A42" s="1173"/>
      <c r="B42" s="1191" t="s">
        <v>31</v>
      </c>
      <c r="C42" s="1165"/>
      <c r="D42" s="1165" t="s">
        <v>91</v>
      </c>
      <c r="E42" s="1165"/>
      <c r="F42" s="1165"/>
      <c r="G42" s="1165"/>
      <c r="H42" s="1165"/>
      <c r="I42" s="1165"/>
      <c r="J42" s="1165"/>
      <c r="K42" s="1165"/>
      <c r="L42" s="1165"/>
      <c r="M42" s="1165"/>
      <c r="N42" s="1165"/>
      <c r="O42" s="1165"/>
      <c r="P42" s="1165"/>
      <c r="Q42" s="2436" t="s">
        <v>32</v>
      </c>
      <c r="R42" s="2436"/>
      <c r="S42" s="2436" t="s">
        <v>115</v>
      </c>
      <c r="T42" s="2436"/>
      <c r="U42" s="2436"/>
      <c r="V42" s="2437"/>
      <c r="W42" s="1173"/>
    </row>
    <row r="43" spans="1:23" ht="14.55" customHeight="1" x14ac:dyDescent="0.3">
      <c r="A43" s="1173"/>
      <c r="B43" s="1192">
        <f>'Data Analysis'!B276</f>
        <v>1</v>
      </c>
      <c r="C43" s="1193"/>
      <c r="D43" s="2438" t="str">
        <f>'Data Analysis'!C276</f>
        <v>Alignment with government priorities</v>
      </c>
      <c r="E43" s="2438"/>
      <c r="F43" s="2438"/>
      <c r="G43" s="2438"/>
      <c r="H43" s="2438"/>
      <c r="I43" s="2438"/>
      <c r="J43" s="2438"/>
      <c r="K43" s="2438"/>
      <c r="L43" s="2438"/>
      <c r="M43" s="2438"/>
      <c r="N43" s="2438"/>
      <c r="O43" s="2438"/>
      <c r="P43" s="2438"/>
      <c r="Q43" s="1193"/>
      <c r="R43" s="1193"/>
      <c r="S43" s="1193"/>
      <c r="T43" s="1193"/>
      <c r="U43" s="1193"/>
      <c r="V43" s="1194"/>
      <c r="W43" s="1173"/>
    </row>
    <row r="44" spans="1:23" ht="14.55" customHeight="1" x14ac:dyDescent="0.3">
      <c r="A44" s="1173"/>
      <c r="B44" s="1170" t="str">
        <f>'I.Strategic Suitability'!B30</f>
        <v>(i)</v>
      </c>
      <c r="C44" s="1184"/>
      <c r="D44" s="2420" t="str">
        <f>'I.Strategic Suitability'!C30</f>
        <v>Does the project have high strategic importance for the region and could it enable significant private sector investments in the economic development of the region?</v>
      </c>
      <c r="E44" s="2420"/>
      <c r="F44" s="2420"/>
      <c r="G44" s="2420"/>
      <c r="H44" s="2420"/>
      <c r="I44" s="2420"/>
      <c r="J44" s="2420"/>
      <c r="K44" s="2420"/>
      <c r="L44" s="2420"/>
      <c r="M44" s="2420"/>
      <c r="N44" s="2420"/>
      <c r="O44" s="2420"/>
      <c r="P44" s="2420"/>
      <c r="Q44" s="2421" t="str">
        <f>'I.Strategic Suitability'!AA30</f>
        <v>Yes</v>
      </c>
      <c r="R44" s="2421"/>
      <c r="S44" s="2422">
        <f>'I.Strategic Suitability'!AC30</f>
        <v>0</v>
      </c>
      <c r="T44" s="2422"/>
      <c r="U44" s="2422"/>
      <c r="V44" s="2423"/>
      <c r="W44" s="1173"/>
    </row>
    <row r="45" spans="1:23" ht="14.55" customHeight="1" x14ac:dyDescent="0.3">
      <c r="A45" s="1173"/>
      <c r="B45" s="1170" t="str">
        <f>'I.Strategic Suitability'!B31</f>
        <v>(ii)</v>
      </c>
      <c r="C45" s="1184"/>
      <c r="D45" s="2420" t="str">
        <f>'I.Strategic Suitability'!C31</f>
        <v>Will the project lead to an improvement in the quality of life of the citizens? For example, by way of reduced cost of living or improved liveability for the citizens.</v>
      </c>
      <c r="E45" s="2420"/>
      <c r="F45" s="2420"/>
      <c r="G45" s="2420"/>
      <c r="H45" s="2420"/>
      <c r="I45" s="2420"/>
      <c r="J45" s="2420"/>
      <c r="K45" s="2420"/>
      <c r="L45" s="2420"/>
      <c r="M45" s="2420"/>
      <c r="N45" s="2420"/>
      <c r="O45" s="2420"/>
      <c r="P45" s="2420"/>
      <c r="Q45" s="2421" t="str">
        <f>'I.Strategic Suitability'!AA31</f>
        <v>Yes</v>
      </c>
      <c r="R45" s="2421"/>
      <c r="S45" s="2424">
        <f>'I.Strategic Suitability'!AC31</f>
        <v>0</v>
      </c>
      <c r="T45" s="2424"/>
      <c r="U45" s="2424"/>
      <c r="V45" s="2425"/>
      <c r="W45" s="1173"/>
    </row>
    <row r="46" spans="1:23" ht="14.55" customHeight="1" x14ac:dyDescent="0.3">
      <c r="A46" s="1173"/>
      <c r="B46" s="1170" t="str">
        <f>'I.Strategic Suitability'!B33</f>
        <v>(iii)</v>
      </c>
      <c r="C46" s="1184"/>
      <c r="D46" s="2420">
        <f>'I.Strategic Suitability'!C33</f>
        <v>0</v>
      </c>
      <c r="E46" s="2420"/>
      <c r="F46" s="2420"/>
      <c r="G46" s="2420"/>
      <c r="H46" s="2420"/>
      <c r="I46" s="2420"/>
      <c r="J46" s="2420"/>
      <c r="K46" s="2420"/>
      <c r="L46" s="2420"/>
      <c r="M46" s="2420"/>
      <c r="N46" s="2420"/>
      <c r="O46" s="2420"/>
      <c r="P46" s="2420"/>
      <c r="Q46" s="2421" t="str">
        <f>'I.Strategic Suitability'!AA33</f>
        <v>Yes</v>
      </c>
      <c r="R46" s="2421"/>
      <c r="S46" s="2424">
        <f>'I.Strategic Suitability'!AC33</f>
        <v>0</v>
      </c>
      <c r="T46" s="2424"/>
      <c r="U46" s="2424"/>
      <c r="V46" s="2425"/>
      <c r="W46" s="1173"/>
    </row>
    <row r="47" spans="1:23" ht="14.55" customHeight="1" x14ac:dyDescent="0.3">
      <c r="A47" s="1173"/>
      <c r="B47" s="1192">
        <f>'I.Strategic Suitability'!B35</f>
        <v>2</v>
      </c>
      <c r="C47" s="1193"/>
      <c r="D47" s="2438" t="str">
        <f>'I.Strategic Suitability'!C35</f>
        <v>Identification of service need</v>
      </c>
      <c r="E47" s="2438"/>
      <c r="F47" s="2438"/>
      <c r="G47" s="2438"/>
      <c r="H47" s="2438"/>
      <c r="I47" s="2438"/>
      <c r="J47" s="2438"/>
      <c r="K47" s="2438"/>
      <c r="L47" s="2438"/>
      <c r="M47" s="2438"/>
      <c r="N47" s="2438"/>
      <c r="O47" s="2438"/>
      <c r="P47" s="2438"/>
      <c r="Q47" s="1193"/>
      <c r="R47" s="1193"/>
      <c r="S47" s="1227"/>
      <c r="T47" s="1227"/>
      <c r="U47" s="1227"/>
      <c r="V47" s="1228"/>
      <c r="W47" s="1173"/>
    </row>
    <row r="48" spans="1:23" ht="14.55" customHeight="1" x14ac:dyDescent="0.3">
      <c r="A48" s="1173"/>
      <c r="B48" s="1170" t="str">
        <f>'I.Strategic Suitability'!B36</f>
        <v>(i)</v>
      </c>
      <c r="C48" s="1184"/>
      <c r="D48" s="2439" t="str">
        <f>'I.Strategic Suitability'!C36</f>
        <v>Is there clear articulation and substantiation of the service deficiency?</v>
      </c>
      <c r="E48" s="2439"/>
      <c r="F48" s="2439"/>
      <c r="G48" s="2439"/>
      <c r="H48" s="2439"/>
      <c r="I48" s="2439"/>
      <c r="J48" s="2439"/>
      <c r="K48" s="2439"/>
      <c r="L48" s="2439"/>
      <c r="M48" s="2439"/>
      <c r="N48" s="2439"/>
      <c r="O48" s="2439"/>
      <c r="P48" s="2439"/>
      <c r="Q48" s="2421" t="str">
        <f>'I.Strategic Suitability'!AA36</f>
        <v>Yes</v>
      </c>
      <c r="R48" s="2421"/>
      <c r="S48" s="2422">
        <f>'I.Strategic Suitability'!AC36</f>
        <v>0</v>
      </c>
      <c r="T48" s="2422"/>
      <c r="U48" s="2422"/>
      <c r="V48" s="2423"/>
      <c r="W48" s="1173"/>
    </row>
    <row r="49" spans="1:23" ht="14.55" customHeight="1" x14ac:dyDescent="0.3">
      <c r="A49" s="1173"/>
      <c r="B49" s="1170" t="str">
        <f>'I.Strategic Suitability'!B37</f>
        <v>(ii)</v>
      </c>
      <c r="C49" s="1184"/>
      <c r="D49" s="2420" t="str">
        <f>'I.Strategic Suitability'!C37</f>
        <v>Is the desired service outcome well defined and can it be used to scope out the project?</v>
      </c>
      <c r="E49" s="2420"/>
      <c r="F49" s="2420"/>
      <c r="G49" s="2420"/>
      <c r="H49" s="2420"/>
      <c r="I49" s="2420"/>
      <c r="J49" s="2420"/>
      <c r="K49" s="2420"/>
      <c r="L49" s="2420"/>
      <c r="M49" s="2420"/>
      <c r="N49" s="2420"/>
      <c r="O49" s="2420"/>
      <c r="P49" s="2420"/>
      <c r="Q49" s="2421" t="str">
        <f>'I.Strategic Suitability'!AA37</f>
        <v>Yes</v>
      </c>
      <c r="R49" s="2421"/>
      <c r="S49" s="2422">
        <f>'I.Strategic Suitability'!AC37</f>
        <v>0</v>
      </c>
      <c r="T49" s="2422"/>
      <c r="U49" s="2422"/>
      <c r="V49" s="2423"/>
      <c r="W49" s="1173"/>
    </row>
    <row r="50" spans="1:23" ht="14.55" customHeight="1" x14ac:dyDescent="0.3">
      <c r="A50" s="1173"/>
      <c r="B50" s="1170" t="str">
        <f>'I.Strategic Suitability'!B38</f>
        <v>(iii)</v>
      </c>
      <c r="C50" s="1184"/>
      <c r="D50" s="2420" t="str">
        <f>'I.Strategic Suitability'!C38</f>
        <v>Is there a consensus on users’ and stakeholders’ expectations from the project?</v>
      </c>
      <c r="E50" s="2420"/>
      <c r="F50" s="2420"/>
      <c r="G50" s="2420"/>
      <c r="H50" s="2420"/>
      <c r="I50" s="2420"/>
      <c r="J50" s="2420"/>
      <c r="K50" s="2420"/>
      <c r="L50" s="2420"/>
      <c r="M50" s="2420"/>
      <c r="N50" s="2420"/>
      <c r="O50" s="2420"/>
      <c r="P50" s="2420"/>
      <c r="Q50" s="2421" t="str">
        <f>'I.Strategic Suitability'!AA38</f>
        <v>Yes</v>
      </c>
      <c r="R50" s="2421"/>
      <c r="S50" s="2422">
        <f>'I.Strategic Suitability'!AC38</f>
        <v>0</v>
      </c>
      <c r="T50" s="2422"/>
      <c r="U50" s="2422"/>
      <c r="V50" s="2423"/>
      <c r="W50" s="1173"/>
    </row>
    <row r="51" spans="1:23" ht="14.55" customHeight="1" x14ac:dyDescent="0.3">
      <c r="A51" s="1173"/>
      <c r="B51" s="1192">
        <f>'I.Strategic Suitability'!B40</f>
        <v>3</v>
      </c>
      <c r="C51" s="1193"/>
      <c r="D51" s="2438" t="str">
        <f>'I.Strategic Suitability'!C40</f>
        <v>Assessment of service delivery options</v>
      </c>
      <c r="E51" s="2438"/>
      <c r="F51" s="2438"/>
      <c r="G51" s="2438"/>
      <c r="H51" s="2438"/>
      <c r="I51" s="2438"/>
      <c r="J51" s="2438"/>
      <c r="K51" s="2438"/>
      <c r="L51" s="2438"/>
      <c r="M51" s="2438"/>
      <c r="N51" s="2438"/>
      <c r="O51" s="2438"/>
      <c r="P51" s="2438"/>
      <c r="Q51" s="1193"/>
      <c r="R51" s="1193"/>
      <c r="S51" s="1227"/>
      <c r="T51" s="1227"/>
      <c r="U51" s="1227"/>
      <c r="V51" s="1228"/>
      <c r="W51" s="1173"/>
    </row>
    <row r="52" spans="1:23" ht="14.55" customHeight="1" x14ac:dyDescent="0.3">
      <c r="A52" s="1173"/>
      <c r="B52" s="1170" t="str">
        <f>'I.Strategic Suitability'!B41</f>
        <v>(i)</v>
      </c>
      <c r="C52" s="1184"/>
      <c r="D52" s="2439" t="str">
        <f>'I.Strategic Suitability'!C41</f>
        <v>Has there been an assessment of all possible technical solutions to address the identified need?</v>
      </c>
      <c r="E52" s="2439"/>
      <c r="F52" s="2439"/>
      <c r="G52" s="2439"/>
      <c r="H52" s="2439"/>
      <c r="I52" s="2439"/>
      <c r="J52" s="2439"/>
      <c r="K52" s="2439"/>
      <c r="L52" s="2439"/>
      <c r="M52" s="2439"/>
      <c r="N52" s="2439"/>
      <c r="O52" s="2439"/>
      <c r="P52" s="2439"/>
      <c r="Q52" s="2421" t="str">
        <f>'I.Strategic Suitability'!AA41</f>
        <v>Yes</v>
      </c>
      <c r="R52" s="2421"/>
      <c r="S52" s="2422">
        <f>'I.Strategic Suitability'!AC41</f>
        <v>0</v>
      </c>
      <c r="T52" s="2422"/>
      <c r="U52" s="2422"/>
      <c r="V52" s="2423"/>
      <c r="W52" s="1173"/>
    </row>
    <row r="53" spans="1:23" ht="14.55" customHeight="1" x14ac:dyDescent="0.3">
      <c r="A53" s="1173"/>
      <c r="B53" s="1170" t="str">
        <f>'I.Strategic Suitability'!B42</f>
        <v>(ii)</v>
      </c>
      <c r="C53" s="1184"/>
      <c r="D53" s="2420" t="str">
        <f>'I.Strategic Suitability'!C42</f>
        <v>Does the technical solution clearly address the service need in a cost-effective and affordable manner?</v>
      </c>
      <c r="E53" s="2420"/>
      <c r="F53" s="2420"/>
      <c r="G53" s="2420"/>
      <c r="H53" s="2420"/>
      <c r="I53" s="2420"/>
      <c r="J53" s="2420"/>
      <c r="K53" s="2420"/>
      <c r="L53" s="2420"/>
      <c r="M53" s="2420"/>
      <c r="N53" s="2420"/>
      <c r="O53" s="2420"/>
      <c r="P53" s="2420"/>
      <c r="Q53" s="2421" t="str">
        <f>'I.Strategic Suitability'!AA42</f>
        <v>Yes</v>
      </c>
      <c r="R53" s="2421"/>
      <c r="S53" s="2422">
        <f>'I.Strategic Suitability'!AC42</f>
        <v>0</v>
      </c>
      <c r="T53" s="2422"/>
      <c r="U53" s="2422"/>
      <c r="V53" s="2423"/>
      <c r="W53" s="1173"/>
    </row>
    <row r="54" spans="1:23" ht="14.55" customHeight="1" x14ac:dyDescent="0.3">
      <c r="A54" s="1173"/>
      <c r="B54" s="1192">
        <f>'I.Strategic Suitability'!B44</f>
        <v>4</v>
      </c>
      <c r="C54" s="1193"/>
      <c r="D54" s="2438" t="str">
        <f>'I.Strategic Suitability'!C44</f>
        <v>Scoping of the project</v>
      </c>
      <c r="E54" s="2438"/>
      <c r="F54" s="2438"/>
      <c r="G54" s="2438"/>
      <c r="H54" s="2438"/>
      <c r="I54" s="2438"/>
      <c r="J54" s="2438"/>
      <c r="K54" s="2438"/>
      <c r="L54" s="2438"/>
      <c r="M54" s="2438"/>
      <c r="N54" s="2438"/>
      <c r="O54" s="2438"/>
      <c r="P54" s="2438"/>
      <c r="Q54" s="1193"/>
      <c r="R54" s="1193"/>
      <c r="S54" s="1227"/>
      <c r="T54" s="1227"/>
      <c r="U54" s="1227"/>
      <c r="V54" s="1228"/>
      <c r="W54" s="1173"/>
    </row>
    <row r="55" spans="1:23" ht="14.55" customHeight="1" x14ac:dyDescent="0.3">
      <c r="A55" s="1173"/>
      <c r="B55" s="1170" t="str">
        <f>'I.Strategic Suitability'!B45</f>
        <v>(i)</v>
      </c>
      <c r="C55" s="1184"/>
      <c r="D55" s="2420" t="str">
        <f>'I.Strategic Suitability'!C45</f>
        <v>Is there a clear description of the technical features of the project?</v>
      </c>
      <c r="E55" s="2420"/>
      <c r="F55" s="2420"/>
      <c r="G55" s="2420"/>
      <c r="H55" s="2420"/>
      <c r="I55" s="2420"/>
      <c r="J55" s="2420"/>
      <c r="K55" s="2420"/>
      <c r="L55" s="2420"/>
      <c r="M55" s="2420"/>
      <c r="N55" s="2420"/>
      <c r="O55" s="2420"/>
      <c r="P55" s="2420"/>
      <c r="Q55" s="2421" t="str">
        <f>'I.Strategic Suitability'!AA45</f>
        <v>Yes</v>
      </c>
      <c r="R55" s="2421"/>
      <c r="S55" s="2422">
        <f>'I.Strategic Suitability'!AC45</f>
        <v>0</v>
      </c>
      <c r="T55" s="2422"/>
      <c r="U55" s="2422"/>
      <c r="V55" s="2423"/>
      <c r="W55" s="1173"/>
    </row>
    <row r="56" spans="1:23" ht="14.55" customHeight="1" x14ac:dyDescent="0.3">
      <c r="A56" s="1173"/>
      <c r="B56" s="1170" t="str">
        <f>'I.Strategic Suitability'!B46</f>
        <v>(ii)</v>
      </c>
      <c r="C56" s="1184"/>
      <c r="D56" s="2420" t="str">
        <f>'I.Strategic Suitability'!C46</f>
        <v>Is the user base identified for the project in terms of users, geography, growth trends, etc.?</v>
      </c>
      <c r="E56" s="2420"/>
      <c r="F56" s="2420"/>
      <c r="G56" s="2420"/>
      <c r="H56" s="2420"/>
      <c r="I56" s="2420"/>
      <c r="J56" s="2420"/>
      <c r="K56" s="2420"/>
      <c r="L56" s="2420"/>
      <c r="M56" s="2420"/>
      <c r="N56" s="2420"/>
      <c r="O56" s="2420"/>
      <c r="P56" s="2420"/>
      <c r="Q56" s="2421" t="str">
        <f>'I.Strategic Suitability'!AA46</f>
        <v>Yes</v>
      </c>
      <c r="R56" s="2421"/>
      <c r="S56" s="2422">
        <f>'I.Strategic Suitability'!AC46</f>
        <v>0</v>
      </c>
      <c r="T56" s="2422"/>
      <c r="U56" s="2422"/>
      <c r="V56" s="2423"/>
      <c r="W56" s="1173"/>
    </row>
    <row r="57" spans="1:23" ht="14.55" customHeight="1" x14ac:dyDescent="0.3">
      <c r="A57" s="1173"/>
      <c r="B57" s="1170" t="str">
        <f>'I.Strategic Suitability'!B47</f>
        <v>(iii)</v>
      </c>
      <c r="C57" s="1184"/>
      <c r="D57" s="2420" t="str">
        <f>'I.Strategic Suitability'!C47</f>
        <v>Are the project outputs defined, measurable and verifiable?</v>
      </c>
      <c r="E57" s="2420"/>
      <c r="F57" s="2420"/>
      <c r="G57" s="2420"/>
      <c r="H57" s="2420"/>
      <c r="I57" s="2420"/>
      <c r="J57" s="2420"/>
      <c r="K57" s="2420"/>
      <c r="L57" s="2420"/>
      <c r="M57" s="2420"/>
      <c r="N57" s="2420"/>
      <c r="O57" s="2420"/>
      <c r="P57" s="2420"/>
      <c r="Q57" s="2421" t="str">
        <f>'I.Strategic Suitability'!AA47</f>
        <v>Yes</v>
      </c>
      <c r="R57" s="2421"/>
      <c r="S57" s="2422">
        <f>'I.Strategic Suitability'!AC47</f>
        <v>0</v>
      </c>
      <c r="T57" s="2422"/>
      <c r="U57" s="2422"/>
      <c r="V57" s="2423"/>
      <c r="W57" s="1173"/>
    </row>
    <row r="58" spans="1:23" ht="14.55" customHeight="1" x14ac:dyDescent="0.3">
      <c r="A58" s="1173"/>
      <c r="B58" s="1170" t="str">
        <f>'I.Strategic Suitability'!B48</f>
        <v>(iv)</v>
      </c>
      <c r="C58" s="1184"/>
      <c r="D58" s="2420" t="str">
        <f>'I.Strategic Suitability'!C48</f>
        <v>Does the scoping cover the entire term of the project?</v>
      </c>
      <c r="E58" s="2420"/>
      <c r="F58" s="2420"/>
      <c r="G58" s="2420"/>
      <c r="H58" s="2420"/>
      <c r="I58" s="2420"/>
      <c r="J58" s="2420"/>
      <c r="K58" s="2420"/>
      <c r="L58" s="2420"/>
      <c r="M58" s="2420"/>
      <c r="N58" s="2420"/>
      <c r="O58" s="2420"/>
      <c r="P58" s="2420"/>
      <c r="Q58" s="2421" t="str">
        <f>'I.Strategic Suitability'!AA48</f>
        <v>Yes</v>
      </c>
      <c r="R58" s="2421"/>
      <c r="S58" s="2422">
        <f>'I.Strategic Suitability'!AC48</f>
        <v>0</v>
      </c>
      <c r="T58" s="2422"/>
      <c r="U58" s="2422"/>
      <c r="V58" s="2423"/>
      <c r="W58" s="1173"/>
    </row>
    <row r="59" spans="1:23" ht="14.55" customHeight="1" x14ac:dyDescent="0.3">
      <c r="A59" s="1173"/>
      <c r="B59" s="1195" t="s">
        <v>238</v>
      </c>
      <c r="C59" s="1196"/>
      <c r="D59" s="1196"/>
      <c r="E59" s="1196"/>
      <c r="F59" s="1196"/>
      <c r="G59" s="1196"/>
      <c r="H59" s="1196"/>
      <c r="I59" s="1196"/>
      <c r="J59" s="1196"/>
      <c r="K59" s="1196"/>
      <c r="L59" s="1196"/>
      <c r="M59" s="1196"/>
      <c r="N59" s="1196"/>
      <c r="O59" s="1196"/>
      <c r="P59" s="1196"/>
      <c r="Q59" s="1196"/>
      <c r="R59" s="1196"/>
      <c r="S59" s="1196"/>
      <c r="T59" s="1196"/>
      <c r="U59" s="1196"/>
      <c r="V59" s="1197"/>
      <c r="W59" s="1173"/>
    </row>
    <row r="60" spans="1:23" ht="14.55" customHeight="1" x14ac:dyDescent="0.3">
      <c r="A60" s="1173"/>
      <c r="B60" s="1040" t="s">
        <v>31</v>
      </c>
      <c r="C60" s="615"/>
      <c r="D60" s="615" t="s">
        <v>91</v>
      </c>
      <c r="E60" s="615"/>
      <c r="F60" s="615"/>
      <c r="G60" s="615"/>
      <c r="H60" s="615"/>
      <c r="I60" s="615"/>
      <c r="J60" s="615"/>
      <c r="K60" s="615"/>
      <c r="L60" s="615"/>
      <c r="M60" s="615"/>
      <c r="N60" s="615"/>
      <c r="O60" s="615"/>
      <c r="P60" s="615"/>
      <c r="Q60" s="2238" t="s">
        <v>32</v>
      </c>
      <c r="R60" s="2238"/>
      <c r="S60" s="2238" t="s">
        <v>115</v>
      </c>
      <c r="T60" s="2238"/>
      <c r="U60" s="2238"/>
      <c r="V60" s="2458"/>
      <c r="W60" s="1173"/>
    </row>
    <row r="61" spans="1:23" ht="14.55" customHeight="1" x14ac:dyDescent="0.3">
      <c r="A61" s="1173"/>
      <c r="B61" s="1131">
        <f>Feasibilitya</f>
        <v>1</v>
      </c>
      <c r="C61" s="1198"/>
      <c r="D61" s="1199" t="str">
        <f>'II.Preliminary Feasibility'!D33</f>
        <v>Technical Prefeasibility</v>
      </c>
      <c r="E61" s="1198"/>
      <c r="F61" s="1198"/>
      <c r="G61" s="1198"/>
      <c r="H61" s="1198"/>
      <c r="I61" s="1198"/>
      <c r="J61" s="1198"/>
      <c r="K61" s="1198"/>
      <c r="L61" s="1198"/>
      <c r="M61" s="1198"/>
      <c r="N61" s="1198"/>
      <c r="O61" s="1198"/>
      <c r="P61" s="1198"/>
      <c r="Q61" s="1198"/>
      <c r="R61" s="1198" t="str">
        <f>'II.Preliminary Feasibility'!AB33</f>
        <v/>
      </c>
      <c r="S61" s="1198"/>
      <c r="T61" s="1198"/>
      <c r="U61" s="1198"/>
      <c r="V61" s="1200"/>
      <c r="W61" s="1173"/>
    </row>
    <row r="62" spans="1:23" ht="14.55" customHeight="1" x14ac:dyDescent="0.3">
      <c r="A62" s="1173"/>
      <c r="B62" s="1170" t="str">
        <f>'II.Preliminary Feasibility'!B34</f>
        <v>(i)</v>
      </c>
      <c r="C62" s="1184" t="str">
        <f>'II.Preliminary Feasibility'!C34</f>
        <v>FA1</v>
      </c>
      <c r="D62" s="2420" t="str">
        <f>'II.Preliminary Feasibility'!D34</f>
        <v>Is the project likely to be based on technology that has been proven commercially in similar environments previously?</v>
      </c>
      <c r="E62" s="2420"/>
      <c r="F62" s="2420"/>
      <c r="G62" s="2420"/>
      <c r="H62" s="2420"/>
      <c r="I62" s="2420"/>
      <c r="J62" s="2420"/>
      <c r="K62" s="2420"/>
      <c r="L62" s="2420"/>
      <c r="M62" s="2420"/>
      <c r="N62" s="2420"/>
      <c r="O62" s="2420"/>
      <c r="P62" s="2420"/>
      <c r="Q62" s="2421" t="str">
        <f>'II.Preliminary Feasibility'!AB34</f>
        <v>Yes</v>
      </c>
      <c r="R62" s="2421"/>
      <c r="S62" s="2422">
        <f>'II.Preliminary Feasibility'!AD34</f>
        <v>0</v>
      </c>
      <c r="T62" s="2422"/>
      <c r="U62" s="2422"/>
      <c r="V62" s="2423"/>
      <c r="W62" s="1173"/>
    </row>
    <row r="63" spans="1:23" ht="14.55" customHeight="1" x14ac:dyDescent="0.3">
      <c r="A63" s="1173"/>
      <c r="B63" s="1170" t="str">
        <f>'II.Preliminary Feasibility'!B35</f>
        <v>(ii)</v>
      </c>
      <c r="C63" s="1184" t="str">
        <f>'II.Preliminary Feasibility'!C35</f>
        <v>FA2</v>
      </c>
      <c r="D63" s="2420" t="str">
        <f>'II.Preliminary Feasibility'!D35</f>
        <v>Is the project's scope of work comparable to other reference projects?</v>
      </c>
      <c r="E63" s="2420"/>
      <c r="F63" s="2420"/>
      <c r="G63" s="2420"/>
      <c r="H63" s="2420"/>
      <c r="I63" s="2420"/>
      <c r="J63" s="2420"/>
      <c r="K63" s="2420"/>
      <c r="L63" s="2420"/>
      <c r="M63" s="2420"/>
      <c r="N63" s="2420"/>
      <c r="O63" s="2420"/>
      <c r="P63" s="2420"/>
      <c r="Q63" s="2421" t="str">
        <f>'II.Preliminary Feasibility'!AB35</f>
        <v>Yes</v>
      </c>
      <c r="R63" s="2421"/>
      <c r="S63" s="2422">
        <f>'II.Preliminary Feasibility'!AD35</f>
        <v>0</v>
      </c>
      <c r="T63" s="2422"/>
      <c r="U63" s="2422"/>
      <c r="V63" s="2423"/>
      <c r="W63" s="1173"/>
    </row>
    <row r="64" spans="1:23" ht="14.55" customHeight="1" x14ac:dyDescent="0.3">
      <c r="A64" s="1173"/>
      <c r="B64" s="1170" t="str">
        <f>'II.Preliminary Feasibility'!B36</f>
        <v>(iii)</v>
      </c>
      <c r="C64" s="1184" t="str">
        <f>'II.Preliminary Feasibility'!C36</f>
        <v>FA3</v>
      </c>
      <c r="D64" s="2439" t="str">
        <f>'II.Preliminary Feasibility'!D36</f>
        <v>Are the technical cost estimates in line with required output specifications?</v>
      </c>
      <c r="E64" s="2439"/>
      <c r="F64" s="2439"/>
      <c r="G64" s="2439"/>
      <c r="H64" s="2439"/>
      <c r="I64" s="2439"/>
      <c r="J64" s="2439"/>
      <c r="K64" s="2439"/>
      <c r="L64" s="2439"/>
      <c r="M64" s="2439"/>
      <c r="N64" s="2439"/>
      <c r="O64" s="2439"/>
      <c r="P64" s="2439"/>
      <c r="Q64" s="2421" t="str">
        <f>'II.Preliminary Feasibility'!AB36</f>
        <v>Yes</v>
      </c>
      <c r="R64" s="2421"/>
      <c r="S64" s="2422">
        <f>'II.Preliminary Feasibility'!AD36</f>
        <v>0</v>
      </c>
      <c r="T64" s="2422"/>
      <c r="U64" s="2422"/>
      <c r="V64" s="2423"/>
      <c r="W64" s="1173"/>
    </row>
    <row r="65" spans="1:23" ht="14.55" customHeight="1" x14ac:dyDescent="0.3">
      <c r="A65" s="1173"/>
      <c r="B65" s="1170" t="str">
        <f>'II.Preliminary Feasibility'!B37</f>
        <v>(iv)</v>
      </c>
      <c r="C65" s="1184" t="str">
        <f>'II.Preliminary Feasibility'!C37</f>
        <v>FA4</v>
      </c>
      <c r="D65" s="2420" t="str">
        <f>'II.Preliminary Feasibility'!D37</f>
        <v>Are the life cycle costs for major components of the project reasonable and affordable?</v>
      </c>
      <c r="E65" s="2420"/>
      <c r="F65" s="2420"/>
      <c r="G65" s="2420"/>
      <c r="H65" s="2420"/>
      <c r="I65" s="2420"/>
      <c r="J65" s="2420"/>
      <c r="K65" s="2420"/>
      <c r="L65" s="2420"/>
      <c r="M65" s="2420"/>
      <c r="N65" s="2420"/>
      <c r="O65" s="2420"/>
      <c r="P65" s="2420"/>
      <c r="Q65" s="2421" t="str">
        <f>'II.Preliminary Feasibility'!AB37</f>
        <v>Yes</v>
      </c>
      <c r="R65" s="2421"/>
      <c r="S65" s="2422">
        <f>'II.Preliminary Feasibility'!AD37</f>
        <v>0</v>
      </c>
      <c r="T65" s="2422"/>
      <c r="U65" s="2422"/>
      <c r="V65" s="2423"/>
      <c r="W65" s="1173"/>
    </row>
    <row r="66" spans="1:23" ht="14.55" customHeight="1" x14ac:dyDescent="0.3">
      <c r="A66" s="1173"/>
      <c r="B66" s="1170" t="str">
        <f>'II.Preliminary Feasibility'!B38</f>
        <v>(v)</v>
      </c>
      <c r="C66" s="1184" t="str">
        <f>'II.Preliminary Feasibility'!C38</f>
        <v>FA5</v>
      </c>
      <c r="D66" s="2420" t="str">
        <f>'II.Preliminary Feasibility'!D38</f>
        <v>Has a site suitability assessment been completed for the proposed project site?</v>
      </c>
      <c r="E66" s="2420"/>
      <c r="F66" s="2420"/>
      <c r="G66" s="2420"/>
      <c r="H66" s="2420"/>
      <c r="I66" s="2420"/>
      <c r="J66" s="2420"/>
      <c r="K66" s="2420"/>
      <c r="L66" s="2420"/>
      <c r="M66" s="2420"/>
      <c r="N66" s="2420"/>
      <c r="O66" s="2420"/>
      <c r="P66" s="2420"/>
      <c r="Q66" s="2421" t="str">
        <f>'II.Preliminary Feasibility'!AB38</f>
        <v>Yes</v>
      </c>
      <c r="R66" s="2421"/>
      <c r="S66" s="2422">
        <f>'II.Preliminary Feasibility'!AD38</f>
        <v>0</v>
      </c>
      <c r="T66" s="2422"/>
      <c r="U66" s="2422"/>
      <c r="V66" s="2423"/>
      <c r="W66" s="1173"/>
    </row>
    <row r="67" spans="1:23" ht="14.55" customHeight="1" x14ac:dyDescent="0.3">
      <c r="A67" s="1173"/>
      <c r="B67" s="1170" t="str">
        <f>'II.Preliminary Feasibility'!B39</f>
        <v>(vi)</v>
      </c>
      <c r="C67" s="1184" t="str">
        <f>'II.Preliminary Feasibility'!C39</f>
        <v>FA6</v>
      </c>
      <c r="D67" s="2439" t="str">
        <f>'II.Preliminary Feasibility'!D39</f>
        <v>Is the proposed site accessible with any potential challenges during construction being manageable?</v>
      </c>
      <c r="E67" s="2439"/>
      <c r="F67" s="2439"/>
      <c r="G67" s="2439"/>
      <c r="H67" s="2439"/>
      <c r="I67" s="2439"/>
      <c r="J67" s="2439"/>
      <c r="K67" s="2439"/>
      <c r="L67" s="2439"/>
      <c r="M67" s="2439"/>
      <c r="N67" s="2439"/>
      <c r="O67" s="2439"/>
      <c r="P67" s="2439"/>
      <c r="Q67" s="2421" t="str">
        <f>'II.Preliminary Feasibility'!AB39</f>
        <v>Yes</v>
      </c>
      <c r="R67" s="2421"/>
      <c r="S67" s="2422">
        <f>'II.Preliminary Feasibility'!AD39</f>
        <v>0</v>
      </c>
      <c r="T67" s="2422"/>
      <c r="U67" s="2422"/>
      <c r="V67" s="2423"/>
      <c r="W67" s="1173"/>
    </row>
    <row r="68" spans="1:23" ht="14.55" customHeight="1" x14ac:dyDescent="0.3">
      <c r="A68" s="1173"/>
      <c r="B68" s="1131">
        <f>'II.Preliminary Feasibility'!B42</f>
        <v>2</v>
      </c>
      <c r="C68" s="1198"/>
      <c r="D68" s="1199" t="str">
        <f>'II.Preliminary Feasibility'!D42</f>
        <v>Environmental Sustainability</v>
      </c>
      <c r="E68" s="1198"/>
      <c r="F68" s="1198"/>
      <c r="G68" s="1198"/>
      <c r="H68" s="1198"/>
      <c r="I68" s="1198"/>
      <c r="J68" s="1198"/>
      <c r="K68" s="1198"/>
      <c r="L68" s="1198"/>
      <c r="M68" s="1198"/>
      <c r="N68" s="1198"/>
      <c r="O68" s="1198"/>
      <c r="P68" s="1198"/>
      <c r="Q68" s="1198" t="str">
        <f>'II.Preliminary Feasibility'!AB42</f>
        <v/>
      </c>
      <c r="R68" s="1198"/>
      <c r="S68" s="1198"/>
      <c r="T68" s="1198"/>
      <c r="U68" s="1198"/>
      <c r="V68" s="1200"/>
      <c r="W68" s="1173"/>
    </row>
    <row r="69" spans="1:23" ht="14.55" customHeight="1" x14ac:dyDescent="0.3">
      <c r="A69" s="1173"/>
      <c r="B69" s="1170" t="str">
        <f>'II.Preliminary Feasibility'!B43</f>
        <v>(i)</v>
      </c>
      <c r="C69" s="1184" t="str">
        <f>'II.Preliminary Feasibility'!C43</f>
        <v>FB1</v>
      </c>
      <c r="D69" s="2420" t="str">
        <f>'II.Preliminary Feasibility'!D43</f>
        <v xml:space="preserve">Is there a reliable initial environmental analysis related to the project? </v>
      </c>
      <c r="E69" s="2420"/>
      <c r="F69" s="2420"/>
      <c r="G69" s="2420"/>
      <c r="H69" s="2420"/>
      <c r="I69" s="2420"/>
      <c r="J69" s="2420"/>
      <c r="K69" s="2420"/>
      <c r="L69" s="2420"/>
      <c r="M69" s="2420"/>
      <c r="N69" s="2420"/>
      <c r="O69" s="2420"/>
      <c r="P69" s="2420"/>
      <c r="Q69" s="2421" t="str">
        <f>'II.Preliminary Feasibility'!AB43</f>
        <v>Yes</v>
      </c>
      <c r="R69" s="2421"/>
      <c r="S69" s="2422">
        <f>'II.Preliminary Feasibility'!AD43</f>
        <v>0</v>
      </c>
      <c r="T69" s="2422"/>
      <c r="U69" s="2422"/>
      <c r="V69" s="2423"/>
      <c r="W69" s="1173"/>
    </row>
    <row r="70" spans="1:23" ht="14.55" customHeight="1" x14ac:dyDescent="0.3">
      <c r="A70" s="1173"/>
      <c r="B70" s="1170" t="str">
        <f>'II.Preliminary Feasibility'!B44</f>
        <v>(ii)</v>
      </c>
      <c r="C70" s="1184" t="str">
        <f>'II.Preliminary Feasibility'!C44</f>
        <v>FB2</v>
      </c>
      <c r="D70" s="2439" t="str">
        <f>'II.Preliminary Feasibility'!D44</f>
        <v>Will the project have any significant negative impact on any natural resources or protected land?</v>
      </c>
      <c r="E70" s="2439"/>
      <c r="F70" s="2439"/>
      <c r="G70" s="2439"/>
      <c r="H70" s="2439"/>
      <c r="I70" s="2439"/>
      <c r="J70" s="2439"/>
      <c r="K70" s="2439"/>
      <c r="L70" s="2439"/>
      <c r="M70" s="2439"/>
      <c r="N70" s="2439"/>
      <c r="O70" s="2439"/>
      <c r="P70" s="2439"/>
      <c r="Q70" s="2421" t="str">
        <f>'II.Preliminary Feasibility'!AB44</f>
        <v>No</v>
      </c>
      <c r="R70" s="2421"/>
      <c r="S70" s="2422">
        <f>'II.Preliminary Feasibility'!AD44</f>
        <v>0</v>
      </c>
      <c r="T70" s="2422"/>
      <c r="U70" s="2422"/>
      <c r="V70" s="2423"/>
      <c r="W70" s="1173"/>
    </row>
    <row r="71" spans="1:23" ht="33" customHeight="1" x14ac:dyDescent="0.3">
      <c r="A71" s="1173"/>
      <c r="B71" s="1170" t="str">
        <f>'II.Preliminary Feasibility'!B45</f>
        <v>(iii)</v>
      </c>
      <c r="C71" s="1184" t="str">
        <f>'II.Preliminary Feasibility'!C45</f>
        <v>FB3</v>
      </c>
      <c r="D71" s="2420" t="str">
        <f>'II.Preliminary Feasibility'!D45</f>
        <v>Is the identified environmental management strategy, or its related approvals, likely to result in uncertainties or delays that could impede the implementation of the project?</v>
      </c>
      <c r="E71" s="2420"/>
      <c r="F71" s="2420"/>
      <c r="G71" s="2420"/>
      <c r="H71" s="2420"/>
      <c r="I71" s="2420"/>
      <c r="J71" s="2420"/>
      <c r="K71" s="2420"/>
      <c r="L71" s="2420"/>
      <c r="M71" s="2420"/>
      <c r="N71" s="2420"/>
      <c r="O71" s="2420"/>
      <c r="P71" s="2420"/>
      <c r="Q71" s="2421" t="str">
        <f>'II.Preliminary Feasibility'!AB45</f>
        <v>No</v>
      </c>
      <c r="R71" s="2421"/>
      <c r="S71" s="2422">
        <f>'II.Preliminary Feasibility'!AD45</f>
        <v>0</v>
      </c>
      <c r="T71" s="2422"/>
      <c r="U71" s="2422"/>
      <c r="V71" s="2423"/>
      <c r="W71" s="1173"/>
    </row>
    <row r="72" spans="1:23" ht="21.75" customHeight="1" x14ac:dyDescent="0.3">
      <c r="A72" s="1173"/>
      <c r="B72" s="1170" t="str">
        <f>'II.Preliminary Feasibility'!B46</f>
        <v>(iv)</v>
      </c>
      <c r="C72" s="1184"/>
      <c r="D72" s="2420" t="str">
        <f>'II.Preliminary Feasibility'!D46</f>
        <v>Will the completed project likely be carbon neutral or net carbon negative, in terms of greenhouse gas emissions?</v>
      </c>
      <c r="E72" s="2420"/>
      <c r="F72" s="2420"/>
      <c r="G72" s="2420"/>
      <c r="H72" s="2420"/>
      <c r="I72" s="2420"/>
      <c r="J72" s="2420"/>
      <c r="K72" s="2420"/>
      <c r="L72" s="2420"/>
      <c r="M72" s="2420"/>
      <c r="N72" s="2420"/>
      <c r="O72" s="2420"/>
      <c r="P72" s="2420"/>
      <c r="Q72" s="2421" t="str">
        <f>'II.Preliminary Feasibility'!AB46</f>
        <v>Yes</v>
      </c>
      <c r="R72" s="2421"/>
      <c r="S72" s="2422">
        <f>'II.Preliminary Feasibility'!AD46</f>
        <v>0</v>
      </c>
      <c r="T72" s="2422"/>
      <c r="U72" s="2422"/>
      <c r="V72" s="2423"/>
      <c r="W72" s="1173"/>
    </row>
    <row r="73" spans="1:23" ht="28.5" customHeight="1" x14ac:dyDescent="0.3">
      <c r="A73" s="1173"/>
      <c r="B73" s="1170" t="str">
        <f>'II.Preliminary Feasibility'!B47</f>
        <v>(v)</v>
      </c>
      <c r="C73" s="1184"/>
      <c r="D73" s="2420" t="str">
        <f>'II.Preliminary Feasibility'!D47</f>
        <v>Will the design and systems of the project be resilient and adaptive to changes in climate conditions or other significant long-term changes in operational or environmental conditions?</v>
      </c>
      <c r="E73" s="2420"/>
      <c r="F73" s="2420"/>
      <c r="G73" s="2420"/>
      <c r="H73" s="2420"/>
      <c r="I73" s="2420"/>
      <c r="J73" s="2420"/>
      <c r="K73" s="2420"/>
      <c r="L73" s="2420"/>
      <c r="M73" s="2420"/>
      <c r="N73" s="2420"/>
      <c r="O73" s="2420"/>
      <c r="P73" s="2420"/>
      <c r="Q73" s="2421" t="str">
        <f>'II.Preliminary Feasibility'!AB47</f>
        <v>Yes</v>
      </c>
      <c r="R73" s="2421"/>
      <c r="S73" s="2422">
        <f>'II.Preliminary Feasibility'!AD47</f>
        <v>0</v>
      </c>
      <c r="T73" s="2422"/>
      <c r="U73" s="2422"/>
      <c r="V73" s="2423"/>
      <c r="W73" s="1173"/>
    </row>
    <row r="74" spans="1:23" x14ac:dyDescent="0.3">
      <c r="A74" s="1173"/>
      <c r="B74" s="1170" t="str">
        <f>'II.Preliminary Feasibility'!B48</f>
        <v>(vi)</v>
      </c>
      <c r="C74" s="1184"/>
      <c r="D74" s="2420" t="str">
        <f>'II.Preliminary Feasibility'!D48</f>
        <v>Will the project design suitably address the impact of potential natural or human-induced hazards in the region?</v>
      </c>
      <c r="E74" s="2420"/>
      <c r="F74" s="2420"/>
      <c r="G74" s="2420"/>
      <c r="H74" s="2420"/>
      <c r="I74" s="2420"/>
      <c r="J74" s="2420"/>
      <c r="K74" s="2420"/>
      <c r="L74" s="2420"/>
      <c r="M74" s="2420"/>
      <c r="N74" s="2420"/>
      <c r="O74" s="2420"/>
      <c r="P74" s="2420"/>
      <c r="Q74" s="2421" t="str">
        <f>'II.Preliminary Feasibility'!AB48</f>
        <v>Yes</v>
      </c>
      <c r="R74" s="2421"/>
      <c r="S74" s="2422">
        <f>'II.Preliminary Feasibility'!AD48</f>
        <v>0</v>
      </c>
      <c r="T74" s="2422"/>
      <c r="U74" s="2422"/>
      <c r="V74" s="2423"/>
      <c r="W74" s="1173"/>
    </row>
    <row r="75" spans="1:23" ht="14.55" customHeight="1" x14ac:dyDescent="0.3">
      <c r="A75" s="1173"/>
      <c r="B75" s="1131">
        <f>'II.Preliminary Feasibility'!B50</f>
        <v>3</v>
      </c>
      <c r="C75" s="1198"/>
      <c r="D75" s="1199" t="str">
        <f>'II.Preliminary Feasibility'!D50</f>
        <v>Social Sustainability</v>
      </c>
      <c r="E75" s="1198"/>
      <c r="F75" s="1198"/>
      <c r="G75" s="1198"/>
      <c r="H75" s="1198"/>
      <c r="I75" s="1198"/>
      <c r="J75" s="1198"/>
      <c r="K75" s="1198"/>
      <c r="L75" s="1198"/>
      <c r="M75" s="1198"/>
      <c r="N75" s="1198"/>
      <c r="O75" s="1198"/>
      <c r="P75" s="1198"/>
      <c r="Q75" s="1198" t="str">
        <f>'II.Preliminary Feasibility'!AB50</f>
        <v/>
      </c>
      <c r="R75" s="1198"/>
      <c r="S75" s="1198"/>
      <c r="T75" s="1198"/>
      <c r="U75" s="1198"/>
      <c r="V75" s="1200"/>
      <c r="W75" s="1173"/>
    </row>
    <row r="76" spans="1:23" ht="14.55" customHeight="1" x14ac:dyDescent="0.3">
      <c r="A76" s="1173"/>
      <c r="B76" s="1170" t="str">
        <f>'II.Preliminary Feasibility'!B51</f>
        <v>(i)</v>
      </c>
      <c r="C76" s="1184" t="str">
        <f>'II.Preliminary Feasibility'!C51</f>
        <v>FC1</v>
      </c>
      <c r="D76" s="2420" t="str">
        <f>'II.Preliminary Feasibility'!D51</f>
        <v xml:space="preserve">Is there a reliable initial social analysis related to the project? </v>
      </c>
      <c r="E76" s="2420"/>
      <c r="F76" s="2420"/>
      <c r="G76" s="2420"/>
      <c r="H76" s="2420"/>
      <c r="I76" s="2420"/>
      <c r="J76" s="2420"/>
      <c r="K76" s="2420"/>
      <c r="L76" s="2420"/>
      <c r="M76" s="2420"/>
      <c r="N76" s="2420"/>
      <c r="O76" s="2420"/>
      <c r="P76" s="2420"/>
      <c r="Q76" s="2421" t="str">
        <f>'II.Preliminary Feasibility'!AB51</f>
        <v>Yes</v>
      </c>
      <c r="R76" s="2421"/>
      <c r="S76" s="2422">
        <f>'II.Preliminary Feasibility'!AD51</f>
        <v>0</v>
      </c>
      <c r="T76" s="2422"/>
      <c r="U76" s="2422"/>
      <c r="V76" s="2423"/>
      <c r="W76" s="1173"/>
    </row>
    <row r="77" spans="1:23" ht="14.55" customHeight="1" x14ac:dyDescent="0.3">
      <c r="A77" s="1173"/>
      <c r="B77" s="1170" t="str">
        <f>'II.Preliminary Feasibility'!B52</f>
        <v>(ii)</v>
      </c>
      <c r="C77" s="1184" t="str">
        <f>'II.Preliminary Feasibility'!C53</f>
        <v>FC3</v>
      </c>
      <c r="D77" s="2420" t="str">
        <f>'II.Preliminary Feasibility'!D52</f>
        <v xml:space="preserve">Will the project have a significant adverse impact on the health or quality of life of users, workers, or the local population? </v>
      </c>
      <c r="E77" s="2420"/>
      <c r="F77" s="2420"/>
      <c r="G77" s="2420"/>
      <c r="H77" s="2420"/>
      <c r="I77" s="2420"/>
      <c r="J77" s="2420"/>
      <c r="K77" s="2420"/>
      <c r="L77" s="2420"/>
      <c r="M77" s="2420"/>
      <c r="N77" s="2420"/>
      <c r="O77" s="2420"/>
      <c r="P77" s="2420"/>
      <c r="Q77" s="2421" t="str">
        <f>'II.Preliminary Feasibility'!AB52</f>
        <v>No</v>
      </c>
      <c r="R77" s="2421"/>
      <c r="S77" s="2422">
        <f>'II.Preliminary Feasibility'!AE52</f>
        <v>0</v>
      </c>
      <c r="T77" s="2422"/>
      <c r="U77" s="2422"/>
      <c r="V77" s="2423"/>
      <c r="W77" s="1173"/>
    </row>
    <row r="78" spans="1:23" ht="14.55" customHeight="1" x14ac:dyDescent="0.3">
      <c r="A78" s="1173"/>
      <c r="B78" s="1170" t="str">
        <f>'II.Preliminary Feasibility'!B53</f>
        <v>(iii)</v>
      </c>
      <c r="C78" s="1184" t="str">
        <f>'II.Preliminary Feasibility'!C54</f>
        <v>FC4</v>
      </c>
      <c r="D78" s="2439" t="str">
        <f>'II.Preliminary Feasibility'!D53</f>
        <v>Is the project likely to be socially sustainable or have manageable social impacts?</v>
      </c>
      <c r="E78" s="2439"/>
      <c r="F78" s="2439"/>
      <c r="G78" s="2439"/>
      <c r="H78" s="2439"/>
      <c r="I78" s="2439"/>
      <c r="J78" s="2439"/>
      <c r="K78" s="2439"/>
      <c r="L78" s="2439"/>
      <c r="M78" s="2439"/>
      <c r="N78" s="2439"/>
      <c r="O78" s="2439"/>
      <c r="P78" s="2439"/>
      <c r="Q78" s="2421" t="str">
        <f>'II.Preliminary Feasibility'!AB53</f>
        <v>Yes</v>
      </c>
      <c r="R78" s="2421"/>
      <c r="S78" s="2422">
        <f>'II.Preliminary Feasibility'!AD53</f>
        <v>0</v>
      </c>
      <c r="T78" s="2422"/>
      <c r="U78" s="2422"/>
      <c r="V78" s="2423"/>
      <c r="W78" s="1173"/>
    </row>
    <row r="79" spans="1:23" ht="14.55" customHeight="1" x14ac:dyDescent="0.3">
      <c r="A79" s="1173"/>
      <c r="B79" s="1170" t="str">
        <f>'II.Preliminary Feasibility'!B54</f>
        <v>(iv)</v>
      </c>
      <c r="C79" s="1184" t="str">
        <f>'II.Preliminary Feasibility'!C55</f>
        <v>FC7</v>
      </c>
      <c r="D79" s="2420" t="str">
        <f>'II.Preliminary Feasibility'!D54</f>
        <v>Does the project require land acquisition?</v>
      </c>
      <c r="E79" s="2420"/>
      <c r="F79" s="2420"/>
      <c r="G79" s="2420"/>
      <c r="H79" s="2420"/>
      <c r="I79" s="2420"/>
      <c r="J79" s="2420"/>
      <c r="K79" s="2420"/>
      <c r="L79" s="2420"/>
      <c r="M79" s="2420"/>
      <c r="N79" s="2420"/>
      <c r="O79" s="2420"/>
      <c r="P79" s="2420"/>
      <c r="Q79" s="2421" t="str">
        <f>'II.Preliminary Feasibility'!AB54</f>
        <v>No</v>
      </c>
      <c r="R79" s="2421"/>
      <c r="S79" s="2422">
        <f>'II.Preliminary Feasibility'!AD54</f>
        <v>0</v>
      </c>
      <c r="T79" s="2422"/>
      <c r="U79" s="2422"/>
      <c r="V79" s="2423"/>
      <c r="W79" s="1173"/>
    </row>
    <row r="80" spans="1:23" ht="14.55" customHeight="1" x14ac:dyDescent="0.3">
      <c r="A80" s="1173"/>
      <c r="B80" s="1170" t="str">
        <f>'II.Preliminary Feasibility'!B55</f>
        <v>(v)</v>
      </c>
      <c r="C80" s="1184" t="str">
        <f>'II.Preliminary Feasibility'!C56</f>
        <v>FFF</v>
      </c>
      <c r="D80" s="2420" t="str">
        <f>'II.Preliminary Feasibility'!D55</f>
        <v>Will the identified social management strategy, or its related approvals, result in uncertainties or delays that could impede project implementation?</v>
      </c>
      <c r="E80" s="2420"/>
      <c r="F80" s="2420"/>
      <c r="G80" s="2420"/>
      <c r="H80" s="2420"/>
      <c r="I80" s="2420"/>
      <c r="J80" s="2420"/>
      <c r="K80" s="2420"/>
      <c r="L80" s="2420"/>
      <c r="M80" s="2420"/>
      <c r="N80" s="2420"/>
      <c r="O80" s="2420"/>
      <c r="P80" s="2420"/>
      <c r="Q80" s="2421" t="str">
        <f>'II.Preliminary Feasibility'!AB55</f>
        <v>No</v>
      </c>
      <c r="R80" s="2421"/>
      <c r="S80" s="2422">
        <f>'II.Preliminary Feasibility'!AD55</f>
        <v>0</v>
      </c>
      <c r="T80" s="2422"/>
      <c r="U80" s="2422"/>
      <c r="V80" s="2423"/>
      <c r="W80" s="1173"/>
    </row>
    <row r="81" spans="1:23" ht="14.55" customHeight="1" x14ac:dyDescent="0.3">
      <c r="A81" s="1173"/>
      <c r="B81" s="1170" t="str">
        <f>'II.Preliminary Feasibility'!B56</f>
        <v>(vi)</v>
      </c>
      <c r="C81" s="1184" t="str">
        <f>'II.Preliminary Feasibility'!C57</f>
        <v>FFF</v>
      </c>
      <c r="D81" s="2439">
        <f>'II.Preliminary Feasibility'!D56</f>
        <v>0</v>
      </c>
      <c r="E81" s="2439"/>
      <c r="F81" s="2439"/>
      <c r="G81" s="2439"/>
      <c r="H81" s="2439"/>
      <c r="I81" s="2439"/>
      <c r="J81" s="2439"/>
      <c r="K81" s="2439"/>
      <c r="L81" s="2439"/>
      <c r="M81" s="2439"/>
      <c r="N81" s="2439"/>
      <c r="O81" s="2439"/>
      <c r="P81" s="2439"/>
      <c r="Q81" s="2421" t="str">
        <f>'II.Preliminary Feasibility'!AB56</f>
        <v>Yes</v>
      </c>
      <c r="R81" s="2421"/>
      <c r="S81" s="2422">
        <f>'II.Preliminary Feasibility'!AD56</f>
        <v>0</v>
      </c>
      <c r="T81" s="2422"/>
      <c r="U81" s="2422"/>
      <c r="V81" s="2423"/>
      <c r="W81" s="1173"/>
    </row>
    <row r="82" spans="1:23" ht="29.25" customHeight="1" x14ac:dyDescent="0.3">
      <c r="A82" s="1173"/>
      <c r="B82" s="1170" t="str">
        <f>'II.Preliminary Feasibility'!B57</f>
        <v>(vii)</v>
      </c>
      <c r="C82" s="1184"/>
      <c r="D82" s="2420">
        <f>'II.Preliminary Feasibility'!D57</f>
        <v>0</v>
      </c>
      <c r="E82" s="2420"/>
      <c r="F82" s="2420"/>
      <c r="G82" s="2420"/>
      <c r="H82" s="2420"/>
      <c r="I82" s="2420"/>
      <c r="J82" s="2420"/>
      <c r="K82" s="2420"/>
      <c r="L82" s="2420"/>
      <c r="M82" s="2420"/>
      <c r="N82" s="2420"/>
      <c r="O82" s="2420"/>
      <c r="P82" s="2420"/>
      <c r="Q82" s="2421" t="str">
        <f>'II.Preliminary Feasibility'!AB57</f>
        <v>No</v>
      </c>
      <c r="R82" s="2421"/>
      <c r="S82" s="2422">
        <f>'II.Preliminary Feasibility'!AD57</f>
        <v>0</v>
      </c>
      <c r="T82" s="2422"/>
      <c r="U82" s="2422"/>
      <c r="V82" s="2423"/>
      <c r="W82" s="1173"/>
    </row>
    <row r="83" spans="1:23" ht="14.55" customHeight="1" x14ac:dyDescent="0.3">
      <c r="A83" s="1173"/>
      <c r="B83" s="1131">
        <f>'II.Preliminary Feasibility'!B59</f>
        <v>4</v>
      </c>
      <c r="C83" s="1198"/>
      <c r="D83" s="1199" t="str">
        <f>'II.Preliminary Feasibility'!D59</f>
        <v>Economic Prefeasibility</v>
      </c>
      <c r="E83" s="1198"/>
      <c r="F83" s="1198"/>
      <c r="G83" s="1198"/>
      <c r="H83" s="1198"/>
      <c r="I83" s="1198"/>
      <c r="J83" s="1198"/>
      <c r="K83" s="1198"/>
      <c r="L83" s="1198"/>
      <c r="M83" s="1198"/>
      <c r="N83" s="1198"/>
      <c r="O83" s="1198"/>
      <c r="P83" s="1198"/>
      <c r="Q83" s="1198" t="str">
        <f>'II.Preliminary Feasibility'!AB59</f>
        <v/>
      </c>
      <c r="R83" s="1198"/>
      <c r="S83" s="1198"/>
      <c r="T83" s="1198"/>
      <c r="U83" s="1198"/>
      <c r="V83" s="1200"/>
      <c r="W83" s="1173"/>
    </row>
    <row r="84" spans="1:23" ht="14.55" customHeight="1" x14ac:dyDescent="0.3">
      <c r="A84" s="1173"/>
      <c r="B84" s="1170" t="str">
        <f>'II.Preliminary Feasibility'!B60</f>
        <v>(i)</v>
      </c>
      <c r="C84" s="1184" t="str">
        <f>'II.Preliminary Feasibility'!C60</f>
        <v>FD3</v>
      </c>
      <c r="D84" s="2420" t="str">
        <f>'II.Preliminary Feasibility'!D60</f>
        <v>Is the economic rate of return (ERR) likely to be higher than the threshold ERR requirements of the government?</v>
      </c>
      <c r="E84" s="2420"/>
      <c r="F84" s="2420"/>
      <c r="G84" s="2420"/>
      <c r="H84" s="2420"/>
      <c r="I84" s="2420"/>
      <c r="J84" s="2420"/>
      <c r="K84" s="2420"/>
      <c r="L84" s="2420"/>
      <c r="M84" s="2420"/>
      <c r="N84" s="2420"/>
      <c r="O84" s="2420"/>
      <c r="P84" s="2420"/>
      <c r="Q84" s="2421" t="str">
        <f>'II.Preliminary Feasibility'!AB60</f>
        <v>Yes</v>
      </c>
      <c r="R84" s="2421"/>
      <c r="S84" s="2422">
        <f>'II.Preliminary Feasibility'!AD60</f>
        <v>0</v>
      </c>
      <c r="T84" s="2422"/>
      <c r="U84" s="2422"/>
      <c r="V84" s="2423"/>
      <c r="W84" s="1173"/>
    </row>
    <row r="85" spans="1:23" ht="14.55" customHeight="1" x14ac:dyDescent="0.3">
      <c r="A85" s="1173"/>
      <c r="B85" s="1170" t="str">
        <f>'II.Preliminary Feasibility'!B61</f>
        <v>(ii)</v>
      </c>
      <c r="C85" s="1184"/>
      <c r="D85" s="2420" t="str">
        <f>'II.Preliminary Feasibility'!D61</f>
        <v>Will communities within the area of influence of the project be able to share direct or indirect economic benefits from the project?</v>
      </c>
      <c r="E85" s="2420"/>
      <c r="F85" s="2420"/>
      <c r="G85" s="2420"/>
      <c r="H85" s="2420"/>
      <c r="I85" s="2420"/>
      <c r="J85" s="2420"/>
      <c r="K85" s="2420"/>
      <c r="L85" s="2420"/>
      <c r="M85" s="2420"/>
      <c r="N85" s="2420"/>
      <c r="O85" s="2420"/>
      <c r="P85" s="2420"/>
      <c r="Q85" s="2421" t="str">
        <f>'II.Preliminary Feasibility'!AB61</f>
        <v>Yes</v>
      </c>
      <c r="R85" s="2421"/>
      <c r="S85" s="2422">
        <f>'II.Preliminary Feasibility'!AE61</f>
        <v>0</v>
      </c>
      <c r="T85" s="2422"/>
      <c r="U85" s="2422"/>
      <c r="V85" s="2423"/>
      <c r="W85" s="1173"/>
    </row>
    <row r="86" spans="1:23" ht="14.55" customHeight="1" x14ac:dyDescent="0.3">
      <c r="A86" s="1173"/>
      <c r="B86" s="1170" t="str">
        <f>'Data Analysis'!B330</f>
        <v>(ii)</v>
      </c>
      <c r="C86" s="1184"/>
      <c r="D86" s="2420">
        <f>'Data Analysis'!C331</f>
        <v>0</v>
      </c>
      <c r="E86" s="2420"/>
      <c r="F86" s="2420"/>
      <c r="G86" s="2420"/>
      <c r="H86" s="2420"/>
      <c r="I86" s="2420"/>
      <c r="J86" s="2420"/>
      <c r="K86" s="2420"/>
      <c r="L86" s="2420"/>
      <c r="M86" s="2420"/>
      <c r="N86" s="2420"/>
      <c r="O86" s="2420"/>
      <c r="P86" s="2420"/>
      <c r="Q86" s="2421" t="str">
        <f>'Data Analysis'!G331</f>
        <v>N/A</v>
      </c>
      <c r="R86" s="2421"/>
      <c r="S86" s="2422">
        <f>'II.Preliminary Feasibility'!AE62</f>
        <v>0</v>
      </c>
      <c r="T86" s="2422"/>
      <c r="U86" s="2422"/>
      <c r="V86" s="2423"/>
      <c r="W86" s="1173"/>
    </row>
    <row r="87" spans="1:23" ht="14.55" customHeight="1" x14ac:dyDescent="0.3">
      <c r="A87" s="1173"/>
      <c r="B87" s="1170"/>
      <c r="C87" s="1184"/>
      <c r="D87" s="1149"/>
      <c r="E87" s="1149"/>
      <c r="F87" s="1149"/>
      <c r="G87" s="1149"/>
      <c r="H87" s="1149"/>
      <c r="I87" s="1149"/>
      <c r="J87" s="1149"/>
      <c r="K87" s="1149"/>
      <c r="L87" s="1149"/>
      <c r="M87" s="1149"/>
      <c r="N87" s="1149"/>
      <c r="O87" s="1149"/>
      <c r="P87" s="1149"/>
      <c r="Q87" s="750"/>
      <c r="R87" s="750"/>
      <c r="S87" s="1229"/>
      <c r="T87" s="1229"/>
      <c r="U87" s="1229"/>
      <c r="V87" s="1230"/>
      <c r="W87" s="1173"/>
    </row>
    <row r="88" spans="1:23" ht="14.55" customHeight="1" x14ac:dyDescent="0.3">
      <c r="A88" s="1173"/>
      <c r="B88" s="1131">
        <f>'II.Preliminary Feasibility'!B64</f>
        <v>5</v>
      </c>
      <c r="C88" s="1198"/>
      <c r="D88" s="1199" t="str">
        <f>'II.Preliminary Feasibility'!D64</f>
        <v>Financial Prefeasibility</v>
      </c>
      <c r="E88" s="1198"/>
      <c r="F88" s="1198"/>
      <c r="G88" s="1198"/>
      <c r="H88" s="1198"/>
      <c r="I88" s="1198"/>
      <c r="J88" s="1198"/>
      <c r="K88" s="1198"/>
      <c r="L88" s="1198"/>
      <c r="M88" s="1198"/>
      <c r="N88" s="1198"/>
      <c r="O88" s="1198"/>
      <c r="P88" s="1198"/>
      <c r="Q88" s="1198" t="str">
        <f>'II.Preliminary Feasibility'!AB64</f>
        <v/>
      </c>
      <c r="R88" s="1198"/>
      <c r="S88" s="1198"/>
      <c r="T88" s="1198"/>
      <c r="U88" s="1198"/>
      <c r="V88" s="1200"/>
      <c r="W88" s="1173"/>
    </row>
    <row r="89" spans="1:23" ht="39" customHeight="1" x14ac:dyDescent="0.3">
      <c r="A89" s="1173"/>
      <c r="B89" s="1170" t="str">
        <f>'II.Preliminary Feasibility'!B65</f>
        <v>(i)</v>
      </c>
      <c r="C89" s="1184" t="str">
        <f>'II.Preliminary Feasibility'!C65</f>
        <v>FE1</v>
      </c>
      <c r="D89" s="2420" t="str">
        <f>'Data Analysis'!C334</f>
        <v>Is there a preliminary financial analysis based on assessment of the net present value (NPV) or internal rate of return (IRR) of the project's cash flows?</v>
      </c>
      <c r="E89" s="2420"/>
      <c r="F89" s="2420"/>
      <c r="G89" s="2420"/>
      <c r="H89" s="2420"/>
      <c r="I89" s="2420"/>
      <c r="J89" s="2420"/>
      <c r="K89" s="2420"/>
      <c r="L89" s="2420"/>
      <c r="M89" s="2420"/>
      <c r="N89" s="2420"/>
      <c r="O89" s="2420"/>
      <c r="P89" s="2420"/>
      <c r="Q89" s="2421" t="str">
        <f>'Data Analysis'!F334</f>
        <v>Yes</v>
      </c>
      <c r="R89" s="2421"/>
      <c r="S89" s="2422">
        <f>'II.Preliminary Feasibility'!AD65</f>
        <v>0</v>
      </c>
      <c r="T89" s="2422"/>
      <c r="U89" s="2422"/>
      <c r="V89" s="2423"/>
      <c r="W89" s="1173"/>
    </row>
    <row r="90" spans="1:23" ht="47.25" customHeight="1" x14ac:dyDescent="0.3">
      <c r="A90" s="1173"/>
      <c r="B90" s="1170" t="str">
        <f>'II.Preliminary Feasibility'!B66</f>
        <v>(ii)</v>
      </c>
      <c r="C90" s="1184" t="str">
        <f>'II.Preliminary Feasibility'!C66</f>
        <v>FE20</v>
      </c>
      <c r="D90" s="2420" t="str">
        <f>'Data Analysis'!C335</f>
        <v>Are the revenue projections realistic? For example, revenues from user charges are based on user surveys or demand models with realistic assumptions and historical data; AND revenues from availability payments are backed by clear understanding from the counterparty agency or availability/capacity utilization factors based on realistic assumptions and historical data.</v>
      </c>
      <c r="E90" s="2420"/>
      <c r="F90" s="2420"/>
      <c r="G90" s="2420"/>
      <c r="H90" s="2420"/>
      <c r="I90" s="2420"/>
      <c r="J90" s="2420"/>
      <c r="K90" s="2420"/>
      <c r="L90" s="2420"/>
      <c r="M90" s="2420"/>
      <c r="N90" s="2420"/>
      <c r="O90" s="2420"/>
      <c r="P90" s="2420"/>
      <c r="Q90" s="2421" t="str">
        <f>'Data Analysis'!F335</f>
        <v>Yes</v>
      </c>
      <c r="R90" s="2421"/>
      <c r="S90" s="2422">
        <f>'II.Preliminary Feasibility'!AD66</f>
        <v>0</v>
      </c>
      <c r="T90" s="2422"/>
      <c r="U90" s="2422"/>
      <c r="V90" s="2423"/>
      <c r="W90" s="1173"/>
    </row>
    <row r="91" spans="1:23" ht="29.25" customHeight="1" x14ac:dyDescent="0.3">
      <c r="A91" s="1173"/>
      <c r="B91" s="1170" t="str">
        <f>'II.Preliminary Feasibility'!B67</f>
        <v>(iii)</v>
      </c>
      <c r="C91" s="1184" t="str">
        <f>'II.Preliminary Feasibility'!C67</f>
        <v>FE21</v>
      </c>
      <c r="D91" s="2420" t="str">
        <f>'Data Analysis'!C336</f>
        <v>Are the financing assumptions comparable to similar projects? Such as the debt-to-equity ratio, interest rate and tenure of debt, and cost of equity.</v>
      </c>
      <c r="E91" s="2420"/>
      <c r="F91" s="2420"/>
      <c r="G91" s="2420"/>
      <c r="H91" s="2420"/>
      <c r="I91" s="2420"/>
      <c r="J91" s="2420"/>
      <c r="K91" s="2420"/>
      <c r="L91" s="2420"/>
      <c r="M91" s="2420"/>
      <c r="N91" s="2420"/>
      <c r="O91" s="2420"/>
      <c r="P91" s="2420"/>
      <c r="Q91" s="2421" t="str">
        <f>'Data Analysis'!F336</f>
        <v>Yes</v>
      </c>
      <c r="R91" s="2421"/>
      <c r="S91" s="2422">
        <f>'II.Preliminary Feasibility'!AD67</f>
        <v>0</v>
      </c>
      <c r="T91" s="2422"/>
      <c r="U91" s="2422"/>
      <c r="V91" s="2423"/>
      <c r="W91" s="1173"/>
    </row>
    <row r="92" spans="1:23" ht="14.55" customHeight="1" x14ac:dyDescent="0.3">
      <c r="A92" s="1173"/>
      <c r="B92" s="1170" t="str">
        <f>'II.Preliminary Feasibility'!B68</f>
        <v>(iv)</v>
      </c>
      <c r="C92" s="1184" t="str">
        <f>'II.Preliminary Feasibility'!C68</f>
        <v>FE13</v>
      </c>
      <c r="D92" s="2420" t="str">
        <f>'Data Analysis'!C337</f>
        <v>Is the project likely to be financially viable?</v>
      </c>
      <c r="E92" s="2420"/>
      <c r="F92" s="2420"/>
      <c r="G92" s="2420"/>
      <c r="H92" s="2420"/>
      <c r="I92" s="2420"/>
      <c r="J92" s="2420"/>
      <c r="K92" s="2420"/>
      <c r="L92" s="2420"/>
      <c r="M92" s="2420"/>
      <c r="N92" s="2420"/>
      <c r="O92" s="2420"/>
      <c r="P92" s="2420"/>
      <c r="Q92" s="2421" t="str">
        <f>'Data Analysis'!F337</f>
        <v>Yes</v>
      </c>
      <c r="R92" s="2421"/>
      <c r="S92" s="2422">
        <f>'II.Preliminary Feasibility'!AD68</f>
        <v>0</v>
      </c>
      <c r="T92" s="2422"/>
      <c r="U92" s="2422"/>
      <c r="V92" s="2423"/>
      <c r="W92" s="1173"/>
    </row>
    <row r="93" spans="1:23" ht="14.55" customHeight="1" x14ac:dyDescent="0.3">
      <c r="A93" s="1173"/>
      <c r="B93" s="1170" t="str">
        <f>IF(D92=0,"(iv)",'II.Preliminary Feasibility'!B69)</f>
        <v>(v)</v>
      </c>
      <c r="C93" s="1184" t="str">
        <f ca="1">'II.Preliminary Feasibility'!C69</f>
        <v>FE14</v>
      </c>
      <c r="D93" s="2420" t="str">
        <f ca="1">'Data Analysis'!C338</f>
        <v>Is the project IRR (post-tax) greater than the threshold rate?</v>
      </c>
      <c r="E93" s="2420"/>
      <c r="F93" s="2420"/>
      <c r="G93" s="2420"/>
      <c r="H93" s="2420"/>
      <c r="I93" s="2420"/>
      <c r="J93" s="2420"/>
      <c r="K93" s="2420"/>
      <c r="L93" s="2420"/>
      <c r="M93" s="2420"/>
      <c r="N93" s="2420"/>
      <c r="O93" s="2420"/>
      <c r="P93" s="2420"/>
      <c r="Q93" s="2421" t="str">
        <f ca="1">'Data Analysis'!F338</f>
        <v>Yes</v>
      </c>
      <c r="R93" s="2421"/>
      <c r="S93" s="2422">
        <f>'II.Preliminary Feasibility'!AD69</f>
        <v>0</v>
      </c>
      <c r="T93" s="2422"/>
      <c r="U93" s="2422"/>
      <c r="V93" s="2423"/>
      <c r="W93" s="1173"/>
    </row>
    <row r="94" spans="1:23" ht="14.55" customHeight="1" x14ac:dyDescent="0.3">
      <c r="A94" s="1173"/>
      <c r="B94" s="1170" t="str">
        <f>IF(B93="(iv)","(v)",'II.Preliminary Feasibility'!B70)</f>
        <v>(vi)</v>
      </c>
      <c r="C94" s="1184" t="str">
        <f ca="1">'II.Preliminary Feasibility'!C70</f>
        <v>FE16</v>
      </c>
      <c r="D94" s="2420" t="str">
        <f ca="1">'Data Analysis'!C339</f>
        <v>Will the project IRR (post-tax) remain greater than the threshold rate the stress (or low) case scenario?</v>
      </c>
      <c r="E94" s="2420"/>
      <c r="F94" s="2420"/>
      <c r="G94" s="2420"/>
      <c r="H94" s="2420"/>
      <c r="I94" s="2420"/>
      <c r="J94" s="2420"/>
      <c r="K94" s="2420"/>
      <c r="L94" s="2420"/>
      <c r="M94" s="2420"/>
      <c r="N94" s="2420"/>
      <c r="O94" s="2420"/>
      <c r="P94" s="2420"/>
      <c r="Q94" s="2421" t="str">
        <f ca="1">'Data Analysis'!F339</f>
        <v>Yes</v>
      </c>
      <c r="R94" s="2421"/>
      <c r="S94" s="2422">
        <f>'II.Preliminary Feasibility'!AD70</f>
        <v>0</v>
      </c>
      <c r="T94" s="2422"/>
      <c r="U94" s="2422"/>
      <c r="V94" s="2423"/>
      <c r="W94" s="1173"/>
    </row>
    <row r="95" spans="1:23" ht="14.55" customHeight="1" x14ac:dyDescent="0.3">
      <c r="A95" s="1173"/>
      <c r="B95" s="1170" t="str">
        <f>IF(B94="(v)","(vi)",'II.Preliminary Feasibility'!B71)</f>
        <v>(vii)</v>
      </c>
      <c r="C95" s="1184" t="str">
        <f ca="1">'II.Preliminary Feasibility'!C71</f>
        <v>FE17</v>
      </c>
      <c r="D95" s="2420" t="str">
        <f ca="1">IF(AND('II.Preliminary Feasibility'!D71=0,'0.Basic Project Data'!$H$46=0,'0.Basic Project Data'!$H$44=0),0,'Data Analysis'!C340)</f>
        <v>Is the project's minimum DSCR greater than the threshold ratio for the duration of the loan?</v>
      </c>
      <c r="E95" s="2420"/>
      <c r="F95" s="2420"/>
      <c r="G95" s="2420"/>
      <c r="H95" s="2420"/>
      <c r="I95" s="2420"/>
      <c r="J95" s="2420"/>
      <c r="K95" s="2420"/>
      <c r="L95" s="2420"/>
      <c r="M95" s="2420"/>
      <c r="N95" s="2420"/>
      <c r="O95" s="2420"/>
      <c r="P95" s="2420"/>
      <c r="Q95" s="2421" t="str">
        <f ca="1">'Data Analysis'!F340</f>
        <v>Yes</v>
      </c>
      <c r="R95" s="2421"/>
      <c r="S95" s="2422">
        <f>'II.Preliminary Feasibility'!AD71</f>
        <v>0</v>
      </c>
      <c r="T95" s="2422"/>
      <c r="U95" s="2422"/>
      <c r="V95" s="2423"/>
      <c r="W95" s="1173"/>
    </row>
    <row r="96" spans="1:23" ht="27.75" customHeight="1" x14ac:dyDescent="0.3">
      <c r="A96" s="1173"/>
      <c r="B96" s="1170" t="str">
        <f>IF(B95="(vi)","(vii)",'II.Preliminary Feasibility'!B72)</f>
        <v>(viii)</v>
      </c>
      <c r="C96" s="1184" t="str">
        <f ca="1">'II.Preliminary Feasibility'!C72</f>
        <v>FE19</v>
      </c>
      <c r="D96" s="2420" t="str">
        <f ca="1">IF(AND('II.Preliminary Feasibility'!D72=0,'0.Basic Project Data'!$H$46=0,'0.Basic Project Data'!$H$44=0),0,'Data Analysis'!C341)</f>
        <v>Will the project's minimum DSCR remain greater than the threshold ratio for the duration of the loan, in the stress (or low) case scenario?</v>
      </c>
      <c r="E96" s="2420"/>
      <c r="F96" s="2420"/>
      <c r="G96" s="2420"/>
      <c r="H96" s="2420"/>
      <c r="I96" s="2420"/>
      <c r="J96" s="2420"/>
      <c r="K96" s="2420"/>
      <c r="L96" s="2420"/>
      <c r="M96" s="2420"/>
      <c r="N96" s="2420"/>
      <c r="O96" s="2420"/>
      <c r="P96" s="2420"/>
      <c r="Q96" s="2421" t="str">
        <f ca="1">'Data Analysis'!F341</f>
        <v>Yes</v>
      </c>
      <c r="R96" s="2421"/>
      <c r="S96" s="2422">
        <f>'II.Preliminary Feasibility'!AD72</f>
        <v>0</v>
      </c>
      <c r="T96" s="2422"/>
      <c r="U96" s="2422"/>
      <c r="V96" s="2423"/>
      <c r="W96" s="1173"/>
    </row>
    <row r="97" spans="1:23" ht="14.55" customHeight="1" x14ac:dyDescent="0.3">
      <c r="A97" s="1173"/>
      <c r="B97" s="1170" t="str">
        <f>'II.Preliminary Feasibility'!B73</f>
        <v>(ix)</v>
      </c>
      <c r="C97" s="1184"/>
      <c r="D97" s="2420">
        <f ca="1">'Data Analysis'!C342</f>
        <v>0</v>
      </c>
      <c r="E97" s="2420"/>
      <c r="F97" s="2420"/>
      <c r="G97" s="2420"/>
      <c r="H97" s="2420"/>
      <c r="I97" s="2420"/>
      <c r="J97" s="2420"/>
      <c r="K97" s="2420"/>
      <c r="L97" s="2420"/>
      <c r="M97" s="2420"/>
      <c r="N97" s="2420"/>
      <c r="O97" s="2420"/>
      <c r="P97" s="2420"/>
      <c r="Q97" s="2421" t="str">
        <f ca="1">'Data Analysis'!F342</f>
        <v>N/A</v>
      </c>
      <c r="R97" s="2421"/>
      <c r="S97" s="2422">
        <f>'II.Preliminary Feasibility'!AD70</f>
        <v>0</v>
      </c>
      <c r="T97" s="2422"/>
      <c r="U97" s="2422"/>
      <c r="V97" s="2423"/>
      <c r="W97" s="1173"/>
    </row>
    <row r="98" spans="1:23" ht="14.55" customHeight="1" x14ac:dyDescent="0.3">
      <c r="A98" s="1173"/>
      <c r="B98" s="1170" t="str">
        <f>'II.Preliminary Feasibility'!B73</f>
        <v>(ix)</v>
      </c>
      <c r="C98" s="1184" t="str">
        <f ca="1">'II.Preliminary Feasibility'!C73</f>
        <v>FFF</v>
      </c>
      <c r="D98" s="2420">
        <f ca="1">'II.Preliminary Feasibility'!D73</f>
        <v>0</v>
      </c>
      <c r="E98" s="2420"/>
      <c r="F98" s="2420"/>
      <c r="G98" s="2420"/>
      <c r="H98" s="2420"/>
      <c r="I98" s="2420"/>
      <c r="J98" s="2420"/>
      <c r="K98" s="2420"/>
      <c r="L98" s="2420"/>
      <c r="M98" s="2420"/>
      <c r="N98" s="2420"/>
      <c r="O98" s="2420"/>
      <c r="P98" s="2420"/>
      <c r="Q98" s="2421" t="str">
        <f>'II.Preliminary Feasibility'!AB73</f>
        <v>Yes</v>
      </c>
      <c r="R98" s="2421"/>
      <c r="S98" s="2422">
        <f>'II.Preliminary Feasibility'!AD70</f>
        <v>0</v>
      </c>
      <c r="T98" s="2422"/>
      <c r="U98" s="2422"/>
      <c r="V98" s="2423"/>
      <c r="W98" s="1173"/>
    </row>
    <row r="99" spans="1:23" ht="14.55" customHeight="1" x14ac:dyDescent="0.3">
      <c r="A99" s="1173"/>
      <c r="B99" s="1131">
        <f>'II.Preliminary Feasibility'!B75</f>
        <v>6</v>
      </c>
      <c r="C99" s="1198">
        <f>'II.Preliminary Feasibility'!C75</f>
        <v>0</v>
      </c>
      <c r="D99" s="1199" t="str">
        <f>'II.Preliminary Feasibility'!D75</f>
        <v>Legal Prefeasibility</v>
      </c>
      <c r="E99" s="1198"/>
      <c r="F99" s="1198"/>
      <c r="G99" s="1198"/>
      <c r="H99" s="1198"/>
      <c r="I99" s="1198"/>
      <c r="J99" s="1198"/>
      <c r="K99" s="1198"/>
      <c r="L99" s="1198"/>
      <c r="M99" s="1198"/>
      <c r="N99" s="1198"/>
      <c r="O99" s="1198"/>
      <c r="P99" s="1198"/>
      <c r="Q99" s="1198" t="str">
        <f>'II.Preliminary Feasibility'!AB75</f>
        <v/>
      </c>
      <c r="R99" s="1198"/>
      <c r="S99" s="1198"/>
      <c r="T99" s="1198"/>
      <c r="U99" s="1198"/>
      <c r="V99" s="1200"/>
      <c r="W99" s="1173"/>
    </row>
    <row r="100" spans="1:23" ht="30" customHeight="1" x14ac:dyDescent="0.3">
      <c r="A100" s="1173"/>
      <c r="B100" s="1170">
        <f>'II.Preliminary Feasibility'!B76</f>
        <v>0</v>
      </c>
      <c r="C100" s="1184" t="str">
        <f>'II.Preliminary Feasibility'!C77</f>
        <v>FF3</v>
      </c>
      <c r="D100" s="2420">
        <f>'II.Preliminary Feasibility'!D76</f>
        <v>0</v>
      </c>
      <c r="E100" s="2420"/>
      <c r="F100" s="2420"/>
      <c r="G100" s="2420"/>
      <c r="H100" s="2420"/>
      <c r="I100" s="2420"/>
      <c r="J100" s="2420"/>
      <c r="K100" s="2420"/>
      <c r="L100" s="2420"/>
      <c r="M100" s="2420"/>
      <c r="N100" s="2420"/>
      <c r="O100" s="2420"/>
      <c r="P100" s="2420"/>
      <c r="Q100" s="2421" t="str">
        <f>'II.Preliminary Feasibility'!AB76</f>
        <v>Yes</v>
      </c>
      <c r="R100" s="2421"/>
      <c r="S100" s="2422">
        <f>'II.Preliminary Feasibility'!AD76</f>
        <v>0</v>
      </c>
      <c r="T100" s="2422"/>
      <c r="U100" s="2422"/>
      <c r="V100" s="2423"/>
      <c r="W100" s="1173"/>
    </row>
    <row r="101" spans="1:23" ht="37.5" customHeight="1" x14ac:dyDescent="0.3">
      <c r="A101" s="1173"/>
      <c r="B101" s="1170" t="str">
        <f>'II.Preliminary Feasibility'!B77</f>
        <v>(i)</v>
      </c>
      <c r="C101" s="1184" t="str">
        <f>'II.Preliminary Feasibility'!C78</f>
        <v>FF4</v>
      </c>
      <c r="D101" s="2420" t="str">
        <f>'II.Preliminary Feasibility'!D77</f>
        <v>Is there a framework that provides adequate basis for establishing the hybrid revenue mechanism for the PPP project? This could include, a tariff-setting methodology and periodic review mechanism.</v>
      </c>
      <c r="E101" s="2420"/>
      <c r="F101" s="2420"/>
      <c r="G101" s="2420"/>
      <c r="H101" s="2420"/>
      <c r="I101" s="2420"/>
      <c r="J101" s="2420"/>
      <c r="K101" s="2420"/>
      <c r="L101" s="2420"/>
      <c r="M101" s="2420"/>
      <c r="N101" s="2420"/>
      <c r="O101" s="2420"/>
      <c r="P101" s="2420"/>
      <c r="Q101" s="2421" t="str">
        <f>'II.Preliminary Feasibility'!AB77</f>
        <v>Yes</v>
      </c>
      <c r="R101" s="2421"/>
      <c r="S101" s="2422">
        <f>'II.Preliminary Feasibility'!AD77</f>
        <v>0</v>
      </c>
      <c r="T101" s="2422"/>
      <c r="U101" s="2422"/>
      <c r="V101" s="2423"/>
      <c r="W101" s="1173"/>
    </row>
    <row r="102" spans="1:23" ht="32.25" customHeight="1" x14ac:dyDescent="0.3">
      <c r="A102" s="1173"/>
      <c r="B102" s="1170" t="str">
        <f>'II.Preliminary Feasibility'!B78</f>
        <v>(ii)</v>
      </c>
      <c r="C102" s="1184" t="str">
        <f>'II.Preliminary Feasibility'!C79</f>
        <v>FF5</v>
      </c>
      <c r="D102" s="2420" t="str">
        <f>'II.Preliminary Feasibility'!D78</f>
        <v>Does the law confer enforceable rights such as, rights of substitution, step-in rights or other applicable remedies that enable the lenders to recover their outstanding loan amounts?</v>
      </c>
      <c r="E102" s="2420"/>
      <c r="F102" s="2420"/>
      <c r="G102" s="2420"/>
      <c r="H102" s="2420"/>
      <c r="I102" s="2420"/>
      <c r="J102" s="2420"/>
      <c r="K102" s="2420"/>
      <c r="L102" s="2420"/>
      <c r="M102" s="2420"/>
      <c r="N102" s="2420"/>
      <c r="O102" s="2420"/>
      <c r="P102" s="2420"/>
      <c r="Q102" s="2421" t="str">
        <f>'II.Preliminary Feasibility'!AB78</f>
        <v>Yes</v>
      </c>
      <c r="R102" s="2421"/>
      <c r="S102" s="2422">
        <f>'II.Preliminary Feasibility'!AD78</f>
        <v>0</v>
      </c>
      <c r="T102" s="2422"/>
      <c r="U102" s="2422"/>
      <c r="V102" s="2423"/>
      <c r="W102" s="1173"/>
    </row>
    <row r="103" spans="1:23" ht="14.55" customHeight="1" x14ac:dyDescent="0.3">
      <c r="A103" s="1173"/>
      <c r="B103" s="1170" t="str">
        <f>'II.Preliminary Feasibility'!B79</f>
        <v>(iii)</v>
      </c>
      <c r="C103" s="1184" t="str">
        <f>'II.Preliminary Feasibility'!C80</f>
        <v>FF6</v>
      </c>
      <c r="D103" s="2420" t="str">
        <f>'II.Preliminary Feasibility'!D79</f>
        <v>Are there any restrictions on foreign exchange or capital movements that may limit the project’s access to finance?</v>
      </c>
      <c r="E103" s="2420"/>
      <c r="F103" s="2420"/>
      <c r="G103" s="2420"/>
      <c r="H103" s="2420"/>
      <c r="I103" s="2420"/>
      <c r="J103" s="2420"/>
      <c r="K103" s="2420"/>
      <c r="L103" s="2420"/>
      <c r="M103" s="2420"/>
      <c r="N103" s="2420"/>
      <c r="O103" s="2420"/>
      <c r="P103" s="2420"/>
      <c r="Q103" s="2421" t="str">
        <f>'II.Preliminary Feasibility'!AB79</f>
        <v>No</v>
      </c>
      <c r="R103" s="2421"/>
      <c r="S103" s="2422">
        <f>'II.Preliminary Feasibility'!AD79</f>
        <v>0</v>
      </c>
      <c r="T103" s="2422"/>
      <c r="U103" s="2422"/>
      <c r="V103" s="2423"/>
      <c r="W103" s="1173"/>
    </row>
    <row r="104" spans="1:23" ht="14.55" customHeight="1" x14ac:dyDescent="0.3">
      <c r="A104" s="1173"/>
      <c r="B104" s="1170" t="str">
        <f>'II.Preliminary Feasibility'!B80</f>
        <v>(iv)</v>
      </c>
      <c r="C104" s="1184">
        <f>'II.Preliminary Feasibility'!C81</f>
        <v>0</v>
      </c>
      <c r="D104" s="2420" t="str">
        <f>'II.Preliminary Feasibility'!D80</f>
        <v>If applicable, Is there a plan to address legal barriers through appropriate executive action or legislative reforms?</v>
      </c>
      <c r="E104" s="2420"/>
      <c r="F104" s="2420"/>
      <c r="G104" s="2420"/>
      <c r="H104" s="2420"/>
      <c r="I104" s="2420"/>
      <c r="J104" s="2420"/>
      <c r="K104" s="2420"/>
      <c r="L104" s="2420"/>
      <c r="M104" s="2420"/>
      <c r="N104" s="2420"/>
      <c r="O104" s="2420"/>
      <c r="P104" s="2420"/>
      <c r="Q104" s="2421" t="str">
        <f>'II.Preliminary Feasibility'!AB80</f>
        <v>Yes</v>
      </c>
      <c r="R104" s="2421"/>
      <c r="S104" s="2422">
        <f>'II.Preliminary Feasibility'!AD80</f>
        <v>0</v>
      </c>
      <c r="T104" s="2422"/>
      <c r="U104" s="2422"/>
      <c r="V104" s="2423"/>
      <c r="W104" s="1173"/>
    </row>
    <row r="105" spans="1:23" ht="14.55" customHeight="1" x14ac:dyDescent="0.3">
      <c r="A105" s="1173"/>
      <c r="B105" s="1170" t="str">
        <f>'II.Preliminary Feasibility'!B81</f>
        <v>(v)</v>
      </c>
      <c r="C105" s="1184"/>
      <c r="D105" s="1367">
        <f>'II.Preliminary Feasibility'!D81</f>
        <v>0</v>
      </c>
      <c r="E105" s="1367"/>
      <c r="F105" s="1367"/>
      <c r="G105" s="1367"/>
      <c r="H105" s="1367"/>
      <c r="I105" s="1367"/>
      <c r="J105" s="1367"/>
      <c r="K105" s="1367"/>
      <c r="L105" s="1367"/>
      <c r="M105" s="1367"/>
      <c r="N105" s="1367"/>
      <c r="O105" s="1367"/>
      <c r="P105" s="1367"/>
      <c r="Q105" s="1371"/>
      <c r="R105" s="1371"/>
      <c r="S105" s="1229"/>
      <c r="T105" s="1229"/>
      <c r="U105" s="1229"/>
      <c r="V105" s="1230"/>
      <c r="W105" s="1173"/>
    </row>
    <row r="106" spans="1:23" ht="14.55" customHeight="1" x14ac:dyDescent="0.3">
      <c r="A106" s="1173"/>
      <c r="B106" s="1079" t="s">
        <v>432</v>
      </c>
      <c r="C106" s="1201"/>
      <c r="D106" s="1201"/>
      <c r="E106" s="1201"/>
      <c r="F106" s="1201"/>
      <c r="G106" s="1201"/>
      <c r="H106" s="1201"/>
      <c r="I106" s="1201"/>
      <c r="J106" s="1201"/>
      <c r="K106" s="1201"/>
      <c r="L106" s="1201"/>
      <c r="M106" s="1201"/>
      <c r="N106" s="1201"/>
      <c r="O106" s="1201"/>
      <c r="P106" s="1201"/>
      <c r="Q106" s="1201"/>
      <c r="R106" s="1201"/>
      <c r="S106" s="1201"/>
      <c r="T106" s="1201"/>
      <c r="U106" s="1201"/>
      <c r="V106" s="1202"/>
      <c r="W106" s="1173"/>
    </row>
    <row r="107" spans="1:23" ht="14.55" customHeight="1" x14ac:dyDescent="0.3">
      <c r="A107" s="1173"/>
      <c r="B107" s="1040" t="s">
        <v>31</v>
      </c>
      <c r="C107" s="1146"/>
      <c r="D107" s="615" t="s">
        <v>91</v>
      </c>
      <c r="E107" s="228"/>
      <c r="F107" s="228"/>
      <c r="G107" s="228"/>
      <c r="H107" s="228"/>
      <c r="I107" s="228"/>
      <c r="J107" s="228"/>
      <c r="K107" s="228"/>
      <c r="L107" s="228"/>
      <c r="M107" s="228"/>
      <c r="N107" s="228"/>
      <c r="O107" s="228"/>
      <c r="P107" s="228"/>
      <c r="Q107" s="2238" t="s">
        <v>32</v>
      </c>
      <c r="R107" s="2238"/>
      <c r="S107" s="2238" t="s">
        <v>115</v>
      </c>
      <c r="T107" s="2238"/>
      <c r="U107" s="2238"/>
      <c r="V107" s="2458"/>
      <c r="W107" s="1171"/>
    </row>
    <row r="108" spans="1:23" ht="14.55" customHeight="1" x14ac:dyDescent="0.3">
      <c r="A108" s="1173"/>
      <c r="B108" s="1132">
        <f>'III.Risk Assessment'!B38</f>
        <v>1</v>
      </c>
      <c r="C108" s="1203"/>
      <c r="D108" s="1203" t="str">
        <f>'III.Risk Assessment'!D38</f>
        <v>Risk of delay in land acquisition</v>
      </c>
      <c r="E108" s="1204"/>
      <c r="F108" s="1204"/>
      <c r="G108" s="1204"/>
      <c r="H108" s="1204"/>
      <c r="I108" s="1204"/>
      <c r="J108" s="1204"/>
      <c r="K108" s="1204"/>
      <c r="L108" s="1204"/>
      <c r="M108" s="1204"/>
      <c r="N108" s="1204"/>
      <c r="O108" s="1204"/>
      <c r="P108" s="1204"/>
      <c r="Q108" s="1204" t="str">
        <f>'III.Risk Assessment'!AB38</f>
        <v/>
      </c>
      <c r="R108" s="1204"/>
      <c r="S108" s="1204"/>
      <c r="T108" s="1204"/>
      <c r="U108" s="1204"/>
      <c r="V108" s="1205"/>
      <c r="W108" s="1173"/>
    </row>
    <row r="109" spans="1:23" x14ac:dyDescent="0.3">
      <c r="A109" s="1173"/>
      <c r="B109" s="1235" t="str">
        <f>'III.Risk Assessment'!B39</f>
        <v>(i)</v>
      </c>
      <c r="C109" s="1236" t="str">
        <f>'III.Risk Assessment'!C39</f>
        <v>RAA1</v>
      </c>
      <c r="D109" s="2420" t="str">
        <f>'III.Risk Assessment'!D39</f>
        <v>If the public sector needs to acquire land, has it identified suitable parcel(s)?</v>
      </c>
      <c r="E109" s="2420"/>
      <c r="F109" s="2420"/>
      <c r="G109" s="2420"/>
      <c r="H109" s="2420"/>
      <c r="I109" s="2420"/>
      <c r="J109" s="2420"/>
      <c r="K109" s="2420"/>
      <c r="L109" s="2420"/>
      <c r="M109" s="2420"/>
      <c r="N109" s="2420"/>
      <c r="O109" s="2420"/>
      <c r="P109" s="2420"/>
      <c r="Q109" s="2421" t="str">
        <f>'III.Risk Assessment'!AB39</f>
        <v>Yes</v>
      </c>
      <c r="R109" s="2421"/>
      <c r="S109" s="2422">
        <f>'III.Risk Assessment'!AC39</f>
        <v>0</v>
      </c>
      <c r="T109" s="2422"/>
      <c r="U109" s="2422"/>
      <c r="V109" s="2423"/>
      <c r="W109" s="1206"/>
    </row>
    <row r="110" spans="1:23" x14ac:dyDescent="0.3">
      <c r="A110" s="1173"/>
      <c r="B110" s="1235" t="str">
        <f>'III.Risk Assessment'!B40</f>
        <v>(ii)</v>
      </c>
      <c r="C110" s="1236" t="str">
        <f>'III.Risk Assessment'!C40</f>
        <v>RAA2</v>
      </c>
      <c r="D110" s="2420" t="str">
        <f>'III.Risk Assessment'!D40</f>
        <v>Has the government prepared or committed to prepare a fully-budgeted land acquisition plan?</v>
      </c>
      <c r="E110" s="2420"/>
      <c r="F110" s="2420"/>
      <c r="G110" s="2420"/>
      <c r="H110" s="2420"/>
      <c r="I110" s="2420"/>
      <c r="J110" s="2420"/>
      <c r="K110" s="2420"/>
      <c r="L110" s="2420"/>
      <c r="M110" s="2420"/>
      <c r="N110" s="2420"/>
      <c r="O110" s="2420"/>
      <c r="P110" s="2420"/>
      <c r="Q110" s="2421" t="str">
        <f>'III.Risk Assessment'!AB40</f>
        <v>Yes</v>
      </c>
      <c r="R110" s="2421"/>
      <c r="S110" s="2422">
        <f>'III.Risk Assessment'!AC40</f>
        <v>0</v>
      </c>
      <c r="T110" s="2422"/>
      <c r="U110" s="2422"/>
      <c r="V110" s="2423"/>
      <c r="W110" s="1206"/>
    </row>
    <row r="111" spans="1:23" x14ac:dyDescent="0.3">
      <c r="A111" s="1173"/>
      <c r="B111" s="1235" t="str">
        <f>'III.Risk Assessment'!B41</f>
        <v>(iii)</v>
      </c>
      <c r="C111" s="1236" t="str">
        <f>'III.Risk Assessment'!C41</f>
        <v>RAA3</v>
      </c>
      <c r="D111" s="2420" t="str">
        <f>'III.Risk Assessment'!D41</f>
        <v xml:space="preserve">Will the PPP agreement have provision of 100% unencumbered land as a condition precedent? </v>
      </c>
      <c r="E111" s="2420"/>
      <c r="F111" s="2420"/>
      <c r="G111" s="2420"/>
      <c r="H111" s="2420"/>
      <c r="I111" s="2420"/>
      <c r="J111" s="2420"/>
      <c r="K111" s="2420"/>
      <c r="L111" s="2420"/>
      <c r="M111" s="2420"/>
      <c r="N111" s="2420"/>
      <c r="O111" s="2420"/>
      <c r="P111" s="2420"/>
      <c r="Q111" s="2421" t="str">
        <f>'III.Risk Assessment'!AB41</f>
        <v>Yes</v>
      </c>
      <c r="R111" s="2421"/>
      <c r="S111" s="2422">
        <f>'III.Risk Assessment'!AC41</f>
        <v>0</v>
      </c>
      <c r="T111" s="2422"/>
      <c r="U111" s="2422"/>
      <c r="V111" s="2423"/>
      <c r="W111" s="1206"/>
    </row>
    <row r="112" spans="1:23" x14ac:dyDescent="0.3">
      <c r="A112" s="1173"/>
      <c r="B112" s="1235" t="str">
        <f>'III.Risk Assessment'!B42</f>
        <v>(iv)</v>
      </c>
      <c r="C112" s="1236" t="str">
        <f>'III.Risk Assessment'!C42</f>
        <v>RAA4</v>
      </c>
      <c r="D112" s="2420" t="str">
        <f>'III.Risk Assessment'!D42</f>
        <v>Will land acquisition lead to substantial involuntary resettlement?</v>
      </c>
      <c r="E112" s="2420"/>
      <c r="F112" s="2420"/>
      <c r="G112" s="2420"/>
      <c r="H112" s="2420"/>
      <c r="I112" s="2420"/>
      <c r="J112" s="2420"/>
      <c r="K112" s="2420"/>
      <c r="L112" s="2420"/>
      <c r="M112" s="2420"/>
      <c r="N112" s="2420"/>
      <c r="O112" s="2420"/>
      <c r="P112" s="2420"/>
      <c r="Q112" s="2421" t="str">
        <f>'III.Risk Assessment'!AB42</f>
        <v>No</v>
      </c>
      <c r="R112" s="2421"/>
      <c r="S112" s="2422">
        <f>'III.Risk Assessment'!AC42</f>
        <v>0</v>
      </c>
      <c r="T112" s="2422"/>
      <c r="U112" s="2422"/>
      <c r="V112" s="2423"/>
      <c r="W112" s="1206"/>
    </row>
    <row r="113" spans="1:23" x14ac:dyDescent="0.3">
      <c r="A113" s="1173"/>
      <c r="B113" s="1235" t="str">
        <f>'III.Risk Assessment'!B43</f>
        <v>(v)</v>
      </c>
      <c r="C113" s="1236" t="str">
        <f>'III.Risk Assessment'!C43</f>
        <v>RAA5</v>
      </c>
      <c r="D113" s="2420" t="str">
        <f>'III.Risk Assessment'!D43</f>
        <v>Will the project need to acquire forest or protected land?</v>
      </c>
      <c r="E113" s="2420"/>
      <c r="F113" s="2420"/>
      <c r="G113" s="2420"/>
      <c r="H113" s="2420"/>
      <c r="I113" s="2420"/>
      <c r="J113" s="2420"/>
      <c r="K113" s="2420"/>
      <c r="L113" s="2420"/>
      <c r="M113" s="2420"/>
      <c r="N113" s="2420"/>
      <c r="O113" s="2420"/>
      <c r="P113" s="2420"/>
      <c r="Q113" s="2421" t="str">
        <f>'III.Risk Assessment'!AB43</f>
        <v>No</v>
      </c>
      <c r="R113" s="2421"/>
      <c r="S113" s="2424">
        <f>'III.Risk Assessment'!AC43</f>
        <v>0</v>
      </c>
      <c r="T113" s="2424"/>
      <c r="U113" s="2424"/>
      <c r="V113" s="2425"/>
      <c r="W113" s="1206"/>
    </row>
    <row r="114" spans="1:23" x14ac:dyDescent="0.3">
      <c r="A114" s="1173"/>
      <c r="B114" s="1235" t="str">
        <f>'III.Risk Assessment'!B44</f>
        <v>(vI)</v>
      </c>
      <c r="C114" s="1236" t="str">
        <f>'III.Risk Assessment'!C44</f>
        <v>RAA6</v>
      </c>
      <c r="D114" s="2420" t="str">
        <f>'III.Risk Assessment'!D44</f>
        <v>Have there been substantial delays in land acquisition in similar projects in the past?</v>
      </c>
      <c r="E114" s="2420"/>
      <c r="F114" s="2420"/>
      <c r="G114" s="2420"/>
      <c r="H114" s="2420"/>
      <c r="I114" s="2420"/>
      <c r="J114" s="2420"/>
      <c r="K114" s="2420"/>
      <c r="L114" s="2420"/>
      <c r="M114" s="2420"/>
      <c r="N114" s="2420"/>
      <c r="O114" s="2420"/>
      <c r="P114" s="2420"/>
      <c r="Q114" s="2421" t="str">
        <f>'III.Risk Assessment'!AB44</f>
        <v>No</v>
      </c>
      <c r="R114" s="2421"/>
      <c r="S114" s="2424">
        <f>'III.Risk Assessment'!AC44</f>
        <v>0</v>
      </c>
      <c r="T114" s="2424"/>
      <c r="U114" s="2424"/>
      <c r="V114" s="2425"/>
      <c r="W114" s="1206"/>
    </row>
    <row r="115" spans="1:23" x14ac:dyDescent="0.3">
      <c r="A115" s="1173"/>
      <c r="B115" s="1235" t="str">
        <f>'III.Risk Assessment'!B45</f>
        <v>(vII)</v>
      </c>
      <c r="C115" s="1236" t="str">
        <f>'III.Risk Assessment'!C45</f>
        <v>RAA7</v>
      </c>
      <c r="D115" s="2420" t="str">
        <f>'III.Risk Assessment'!D45</f>
        <v>Are there any other issues that could delay land acquisition?</v>
      </c>
      <c r="E115" s="2420"/>
      <c r="F115" s="2420"/>
      <c r="G115" s="2420"/>
      <c r="H115" s="2420"/>
      <c r="I115" s="2420"/>
      <c r="J115" s="2420"/>
      <c r="K115" s="2420"/>
      <c r="L115" s="2420"/>
      <c r="M115" s="2420"/>
      <c r="N115" s="2420"/>
      <c r="O115" s="2420"/>
      <c r="P115" s="2420"/>
      <c r="Q115" s="2421" t="str">
        <f>'III.Risk Assessment'!AB45</f>
        <v>No</v>
      </c>
      <c r="R115" s="2421"/>
      <c r="S115" s="2424">
        <f>'III.Risk Assessment'!AC45</f>
        <v>0</v>
      </c>
      <c r="T115" s="2424"/>
      <c r="U115" s="2424"/>
      <c r="V115" s="2425"/>
      <c r="W115" s="1206"/>
    </row>
    <row r="116" spans="1:23" s="1209" customFormat="1" x14ac:dyDescent="0.3">
      <c r="A116" s="1207"/>
      <c r="B116" s="1237">
        <f>'III.Risk Assessment'!B47</f>
        <v>2</v>
      </c>
      <c r="C116" s="1238"/>
      <c r="D116" s="1238" t="str">
        <f>'III.Risk Assessment'!D47</f>
        <v>Financing Risk</v>
      </c>
      <c r="E116" s="1239"/>
      <c r="F116" s="1239"/>
      <c r="G116" s="1239"/>
      <c r="H116" s="1239"/>
      <c r="I116" s="1239"/>
      <c r="J116" s="1239"/>
      <c r="K116" s="1239"/>
      <c r="L116" s="1239"/>
      <c r="M116" s="1239"/>
      <c r="N116" s="1239"/>
      <c r="O116" s="1239"/>
      <c r="P116" s="1239"/>
      <c r="Q116" s="1204" t="str">
        <f>'III.Risk Assessment'!AB47</f>
        <v/>
      </c>
      <c r="R116" s="1204"/>
      <c r="S116" s="1204"/>
      <c r="T116" s="1204"/>
      <c r="U116" s="1204"/>
      <c r="V116" s="1205"/>
      <c r="W116" s="1208"/>
    </row>
    <row r="117" spans="1:23" x14ac:dyDescent="0.3">
      <c r="A117" s="1173"/>
      <c r="B117" s="1235" t="str">
        <f>'III.Risk Assessment'!B48</f>
        <v>(i)</v>
      </c>
      <c r="C117" s="1236" t="str">
        <f>'III.Risk Assessment'!C48</f>
        <v>RAB1</v>
      </c>
      <c r="D117" s="2420" t="str">
        <f>'III.Risk Assessment'!D48</f>
        <v>Have similar PPP projects achieved financial close in the country or region?</v>
      </c>
      <c r="E117" s="2420"/>
      <c r="F117" s="2420"/>
      <c r="G117" s="2420"/>
      <c r="H117" s="2420"/>
      <c r="I117" s="2420"/>
      <c r="J117" s="2420"/>
      <c r="K117" s="2420"/>
      <c r="L117" s="2420"/>
      <c r="M117" s="2420"/>
      <c r="N117" s="2420"/>
      <c r="O117" s="2420"/>
      <c r="P117" s="2420"/>
      <c r="Q117" s="2421" t="str">
        <f>'III.Risk Assessment'!AB48</f>
        <v>Yes</v>
      </c>
      <c r="R117" s="2421"/>
      <c r="S117" s="2422">
        <f>'III.Risk Assessment'!AC48</f>
        <v>0</v>
      </c>
      <c r="T117" s="2422"/>
      <c r="U117" s="2422"/>
      <c r="V117" s="2423"/>
      <c r="W117" s="1206"/>
    </row>
    <row r="118" spans="1:23" x14ac:dyDescent="0.3">
      <c r="A118" s="1173"/>
      <c r="B118" s="1235" t="str">
        <f>'III.Risk Assessment'!B49</f>
        <v>(ii)</v>
      </c>
      <c r="C118" s="1236" t="str">
        <f>'III.Risk Assessment'!C49</f>
        <v>RAB2</v>
      </c>
      <c r="D118" s="2420" t="str">
        <f>'III.Risk Assessment'!D49</f>
        <v>Are there financiers who will express or have expressed interest in the PPP?</v>
      </c>
      <c r="E118" s="2420"/>
      <c r="F118" s="2420"/>
      <c r="G118" s="2420"/>
      <c r="H118" s="2420"/>
      <c r="I118" s="2420"/>
      <c r="J118" s="2420"/>
      <c r="K118" s="2420"/>
      <c r="L118" s="2420"/>
      <c r="M118" s="2420"/>
      <c r="N118" s="2420"/>
      <c r="O118" s="2420"/>
      <c r="P118" s="2420"/>
      <c r="Q118" s="2421" t="str">
        <f>'III.Risk Assessment'!AB49</f>
        <v>Yes</v>
      </c>
      <c r="R118" s="2421"/>
      <c r="S118" s="2422">
        <f>'III.Risk Assessment'!AC49</f>
        <v>0</v>
      </c>
      <c r="T118" s="2422"/>
      <c r="U118" s="2422"/>
      <c r="V118" s="2423"/>
      <c r="W118" s="1206"/>
    </row>
    <row r="119" spans="1:23" x14ac:dyDescent="0.3">
      <c r="A119" s="1173"/>
      <c r="B119" s="1235" t="str">
        <f>'III.Risk Assessment'!B50</f>
        <v>(iii)</v>
      </c>
      <c r="C119" s="1236" t="str">
        <f>'III.Risk Assessment'!C50</f>
        <v>RAB3</v>
      </c>
      <c r="D119" s="2420" t="str">
        <f>'III.Risk Assessment'!D50</f>
        <v xml:space="preserve">Will financial close be a condition precedent to the effectiveness of the PPP agreement? </v>
      </c>
      <c r="E119" s="2420"/>
      <c r="F119" s="2420"/>
      <c r="G119" s="2420"/>
      <c r="H119" s="2420"/>
      <c r="I119" s="2420"/>
      <c r="J119" s="2420"/>
      <c r="K119" s="2420"/>
      <c r="L119" s="2420"/>
      <c r="M119" s="2420"/>
      <c r="N119" s="2420"/>
      <c r="O119" s="2420"/>
      <c r="P119" s="2420"/>
      <c r="Q119" s="2421" t="str">
        <f>'III.Risk Assessment'!AB50</f>
        <v>Yes</v>
      </c>
      <c r="R119" s="2421"/>
      <c r="S119" s="2422">
        <f>'III.Risk Assessment'!AC50</f>
        <v>0</v>
      </c>
      <c r="T119" s="2422"/>
      <c r="U119" s="2422"/>
      <c r="V119" s="2423"/>
      <c r="W119" s="1206"/>
    </row>
    <row r="120" spans="1:23" x14ac:dyDescent="0.3">
      <c r="A120" s="1173"/>
      <c r="B120" s="1235" t="str">
        <f>'III.Risk Assessment'!B51</f>
        <v>(iv)</v>
      </c>
      <c r="C120" s="1236" t="str">
        <f>'III.Risk Assessment'!C51</f>
        <v>RAB4</v>
      </c>
      <c r="D120" s="2420" t="str">
        <f>'III.Risk Assessment'!D51</f>
        <v xml:space="preserve"> Can it be reasonably expected that financial close will not be delayed to affect materially the conditions of effectiveness of the PPP agreement?</v>
      </c>
      <c r="E120" s="2420"/>
      <c r="F120" s="2420"/>
      <c r="G120" s="2420"/>
      <c r="H120" s="2420"/>
      <c r="I120" s="2420"/>
      <c r="J120" s="2420"/>
      <c r="K120" s="2420"/>
      <c r="L120" s="2420"/>
      <c r="M120" s="2420"/>
      <c r="N120" s="2420"/>
      <c r="O120" s="2420"/>
      <c r="P120" s="2420"/>
      <c r="Q120" s="2421" t="str">
        <f>'III.Risk Assessment'!AB51</f>
        <v>Yes</v>
      </c>
      <c r="R120" s="2421"/>
      <c r="S120" s="2422">
        <f>'III.Risk Assessment'!AC51</f>
        <v>0</v>
      </c>
      <c r="T120" s="2422"/>
      <c r="U120" s="2422"/>
      <c r="V120" s="2423"/>
      <c r="W120" s="1206"/>
    </row>
    <row r="121" spans="1:23" s="1209" customFormat="1" x14ac:dyDescent="0.3">
      <c r="A121" s="1207"/>
      <c r="B121" s="1237">
        <f>'III.Risk Assessment'!B53</f>
        <v>3</v>
      </c>
      <c r="C121" s="1238"/>
      <c r="D121" s="1238" t="str">
        <f>'III.Risk Assessment'!D53</f>
        <v xml:space="preserve">Design and Construction Risk </v>
      </c>
      <c r="E121" s="1239"/>
      <c r="F121" s="1239"/>
      <c r="G121" s="1239"/>
      <c r="H121" s="1239"/>
      <c r="I121" s="1239"/>
      <c r="J121" s="1239"/>
      <c r="K121" s="1239"/>
      <c r="L121" s="1239"/>
      <c r="M121" s="1239"/>
      <c r="N121" s="1239"/>
      <c r="O121" s="1239"/>
      <c r="P121" s="1239"/>
      <c r="Q121" s="1204" t="str">
        <f>'III.Risk Assessment'!AB53</f>
        <v/>
      </c>
      <c r="R121" s="1204"/>
      <c r="S121" s="1204"/>
      <c r="T121" s="1204"/>
      <c r="U121" s="1204"/>
      <c r="V121" s="1205"/>
      <c r="W121" s="1208"/>
    </row>
    <row r="122" spans="1:23" x14ac:dyDescent="0.3">
      <c r="A122" s="1173"/>
      <c r="B122" s="1235" t="str">
        <f>'III.Risk Assessment'!B54</f>
        <v>(i)</v>
      </c>
      <c r="C122" s="1236" t="str">
        <f>'III.Risk Assessment'!C54</f>
        <v>RAC1</v>
      </c>
      <c r="D122" s="2420" t="str">
        <f>'III.Risk Assessment'!D54</f>
        <v>Is the project likely to be based on technology that has been proven commercially in similar environments previously?</v>
      </c>
      <c r="E122" s="2420"/>
      <c r="F122" s="2420"/>
      <c r="G122" s="2420"/>
      <c r="H122" s="2420"/>
      <c r="I122" s="2420"/>
      <c r="J122" s="2420"/>
      <c r="K122" s="2420"/>
      <c r="L122" s="2420"/>
      <c r="M122" s="2420"/>
      <c r="N122" s="2420"/>
      <c r="O122" s="2420"/>
      <c r="P122" s="2420"/>
      <c r="Q122" s="2421" t="str">
        <f>'III.Risk Assessment'!AB54</f>
        <v>Yes</v>
      </c>
      <c r="R122" s="2421"/>
      <c r="S122" s="2422">
        <f>'III.Risk Assessment'!AC54</f>
        <v>0</v>
      </c>
      <c r="T122" s="2422"/>
      <c r="U122" s="2422"/>
      <c r="V122" s="2423"/>
      <c r="W122" s="1206"/>
    </row>
    <row r="123" spans="1:23" x14ac:dyDescent="0.3">
      <c r="A123" s="1173"/>
      <c r="B123" s="1235" t="str">
        <f>'III.Risk Assessment'!B55</f>
        <v>(ii)</v>
      </c>
      <c r="C123" s="1236" t="str">
        <f>'III.Risk Assessment'!C55</f>
        <v>RAC2</v>
      </c>
      <c r="D123" s="2420" t="str">
        <f>'III.Risk Assessment'!D55</f>
        <v>Is the proposed site accessible with any potential challenges during construction being manageable?</v>
      </c>
      <c r="E123" s="2420"/>
      <c r="F123" s="2420"/>
      <c r="G123" s="2420"/>
      <c r="H123" s="2420"/>
      <c r="I123" s="2420"/>
      <c r="J123" s="2420"/>
      <c r="K123" s="2420"/>
      <c r="L123" s="2420"/>
      <c r="M123" s="2420"/>
      <c r="N123" s="2420"/>
      <c r="O123" s="2420"/>
      <c r="P123" s="2420"/>
      <c r="Q123" s="2421" t="str">
        <f>'III.Risk Assessment'!AB55</f>
        <v>Yes</v>
      </c>
      <c r="R123" s="2421"/>
      <c r="S123" s="2422">
        <f>'III.Risk Assessment'!AC55</f>
        <v>0</v>
      </c>
      <c r="T123" s="2422"/>
      <c r="U123" s="2422"/>
      <c r="V123" s="2423"/>
      <c r="W123" s="1206"/>
    </row>
    <row r="124" spans="1:23" x14ac:dyDescent="0.3">
      <c r="A124" s="1173"/>
      <c r="B124" s="1235" t="str">
        <f>'III.Risk Assessment'!B56</f>
        <v>(iii)</v>
      </c>
      <c r="C124" s="1236" t="str">
        <f>'III.Risk Assessment'!C56</f>
        <v>RAC3</v>
      </c>
      <c r="D124" s="2420" t="str">
        <f>'III.Risk Assessment'!D56</f>
        <v>Will the project be able to source the required skills in relation to the project's construction and  operations and maintenance (O&amp;M) (as applicable)?</v>
      </c>
      <c r="E124" s="2420"/>
      <c r="F124" s="2420"/>
      <c r="G124" s="2420"/>
      <c r="H124" s="2420"/>
      <c r="I124" s="2420"/>
      <c r="J124" s="2420"/>
      <c r="K124" s="2420"/>
      <c r="L124" s="2420"/>
      <c r="M124" s="2420"/>
      <c r="N124" s="2420"/>
      <c r="O124" s="2420"/>
      <c r="P124" s="2420"/>
      <c r="Q124" s="2421" t="str">
        <f>'III.Risk Assessment'!AB56</f>
        <v>Yes</v>
      </c>
      <c r="R124" s="2421"/>
      <c r="S124" s="2422">
        <f>'III.Risk Assessment'!AC56</f>
        <v>0</v>
      </c>
      <c r="T124" s="2422"/>
      <c r="U124" s="2422"/>
      <c r="V124" s="2423"/>
      <c r="W124" s="1206"/>
    </row>
    <row r="125" spans="1:23" ht="49.5" customHeight="1" x14ac:dyDescent="0.3">
      <c r="A125" s="1173"/>
      <c r="B125" s="1235" t="str">
        <f>'III.Risk Assessment'!B57</f>
        <v>(iv)</v>
      </c>
      <c r="C125" s="1236" t="str">
        <f>'III.Risk Assessment'!C57</f>
        <v>RAC4</v>
      </c>
      <c r="D125" s="2420" t="str">
        <f>'III.Risk Assessment'!D57</f>
        <v>Does the project scope allow the private sector to manage efficiently the design, construction, and commissioning risks?</v>
      </c>
      <c r="E125" s="2420"/>
      <c r="F125" s="2420"/>
      <c r="G125" s="2420"/>
      <c r="H125" s="2420"/>
      <c r="I125" s="2420"/>
      <c r="J125" s="2420"/>
      <c r="K125" s="2420"/>
      <c r="L125" s="2420"/>
      <c r="M125" s="2420"/>
      <c r="N125" s="2420"/>
      <c r="O125" s="2420"/>
      <c r="P125" s="2420"/>
      <c r="Q125" s="2421" t="str">
        <f>'III.Risk Assessment'!AB57</f>
        <v>Yes</v>
      </c>
      <c r="R125" s="2421"/>
      <c r="S125" s="2422">
        <f>'III.Risk Assessment'!AC57</f>
        <v>0</v>
      </c>
      <c r="T125" s="2422"/>
      <c r="U125" s="2422"/>
      <c r="V125" s="2423"/>
      <c r="W125" s="1206"/>
    </row>
    <row r="126" spans="1:23" ht="27.6" customHeight="1" x14ac:dyDescent="0.3">
      <c r="A126" s="1173"/>
      <c r="B126" s="1235" t="str">
        <f>'III.Risk Assessment'!B58</f>
        <v>(v)</v>
      </c>
      <c r="C126" s="1236" t="str">
        <f>'III.Risk Assessment'!C58</f>
        <v>RAC5</v>
      </c>
      <c r="D126" s="2420" t="str">
        <f>'III.Risk Assessment'!D58</f>
        <v>Will there be a strong system to manage contractor/subcontractor performance and construction-related challenges?</v>
      </c>
      <c r="E126" s="2420"/>
      <c r="F126" s="2420"/>
      <c r="G126" s="2420"/>
      <c r="H126" s="2420"/>
      <c r="I126" s="2420"/>
      <c r="J126" s="2420"/>
      <c r="K126" s="2420"/>
      <c r="L126" s="2420"/>
      <c r="M126" s="2420"/>
      <c r="N126" s="2420"/>
      <c r="O126" s="2420"/>
      <c r="P126" s="2420"/>
      <c r="Q126" s="2421" t="str">
        <f>'III.Risk Assessment'!AB58</f>
        <v>Yes</v>
      </c>
      <c r="R126" s="2421"/>
      <c r="S126" s="2422">
        <f>'III.Risk Assessment'!AC58</f>
        <v>0</v>
      </c>
      <c r="T126" s="2422"/>
      <c r="U126" s="2422"/>
      <c r="V126" s="2423"/>
      <c r="W126" s="1206"/>
    </row>
    <row r="127" spans="1:23" ht="28.5" customHeight="1" x14ac:dyDescent="0.3">
      <c r="A127" s="1173"/>
      <c r="B127" s="1235" t="str">
        <f>'III.Risk Assessment'!B59</f>
        <v>(vi)</v>
      </c>
      <c r="C127" s="1236" t="str">
        <f>'III.Risk Assessment'!C59</f>
        <v>RAC6</v>
      </c>
      <c r="D127" s="2420" t="str">
        <f>'III.Risk Assessment'!D59</f>
        <v>Will there be independent reviews of designs, monitoring of construction progress and oversight during testing and commissioning phases?</v>
      </c>
      <c r="E127" s="2420"/>
      <c r="F127" s="2420"/>
      <c r="G127" s="2420"/>
      <c r="H127" s="2420"/>
      <c r="I127" s="2420"/>
      <c r="J127" s="2420"/>
      <c r="K127" s="2420"/>
      <c r="L127" s="2420"/>
      <c r="M127" s="2420"/>
      <c r="N127" s="2420"/>
      <c r="O127" s="2420"/>
      <c r="P127" s="2420"/>
      <c r="Q127" s="2421" t="str">
        <f>'III.Risk Assessment'!AB59</f>
        <v>Yes</v>
      </c>
      <c r="R127" s="2421"/>
      <c r="S127" s="2422">
        <f>'III.Risk Assessment'!AC59</f>
        <v>0</v>
      </c>
      <c r="T127" s="2422"/>
      <c r="U127" s="2422"/>
      <c r="V127" s="2423"/>
      <c r="W127" s="1176"/>
    </row>
    <row r="128" spans="1:23" s="1209" customFormat="1" x14ac:dyDescent="0.3">
      <c r="A128" s="1207"/>
      <c r="B128" s="1237">
        <f>'III.Risk Assessment'!B61</f>
        <v>4</v>
      </c>
      <c r="C128" s="1238"/>
      <c r="D128" s="1238" t="str">
        <f>'III.Risk Assessment'!D61</f>
        <v>Operations and Maintenance Risk</v>
      </c>
      <c r="E128" s="1239"/>
      <c r="F128" s="1239"/>
      <c r="G128" s="1239"/>
      <c r="H128" s="1239"/>
      <c r="I128" s="1239"/>
      <c r="J128" s="1239"/>
      <c r="K128" s="1239"/>
      <c r="L128" s="1239"/>
      <c r="M128" s="1239"/>
      <c r="N128" s="1239"/>
      <c r="O128" s="1239"/>
      <c r="P128" s="1239"/>
      <c r="Q128" s="1204" t="str">
        <f>'III.Risk Assessment'!AB61</f>
        <v/>
      </c>
      <c r="R128" s="1204"/>
      <c r="S128" s="1204"/>
      <c r="T128" s="1204"/>
      <c r="U128" s="1204"/>
      <c r="V128" s="1205"/>
      <c r="W128" s="1208"/>
    </row>
    <row r="129" spans="1:23" x14ac:dyDescent="0.3">
      <c r="A129" s="1173"/>
      <c r="B129" s="1235" t="str">
        <f>'III.Risk Assessment'!B62</f>
        <v>(i)</v>
      </c>
      <c r="C129" s="1236" t="str">
        <f>'III.Risk Assessment'!C62</f>
        <v>RAD1</v>
      </c>
      <c r="D129" s="2471" t="str">
        <f>'III.Risk Assessment'!D62</f>
        <v xml:space="preserve">Does the project scope clearly include a well-defined, measurable, and verifiable O&amp;M component? </v>
      </c>
      <c r="E129" s="2471"/>
      <c r="F129" s="2471"/>
      <c r="G129" s="2471"/>
      <c r="H129" s="2471"/>
      <c r="I129" s="2471"/>
      <c r="J129" s="2471"/>
      <c r="K129" s="2471"/>
      <c r="L129" s="2471"/>
      <c r="M129" s="2471"/>
      <c r="N129" s="2471"/>
      <c r="O129" s="2471"/>
      <c r="P129" s="2471"/>
      <c r="Q129" s="2421" t="str">
        <f>'III.Risk Assessment'!AB62</f>
        <v>Yes</v>
      </c>
      <c r="R129" s="2421"/>
      <c r="S129" s="2422">
        <f>'III.Risk Assessment'!AC62</f>
        <v>0</v>
      </c>
      <c r="T129" s="2422"/>
      <c r="U129" s="2422"/>
      <c r="V129" s="2423"/>
      <c r="W129" s="1176"/>
    </row>
    <row r="130" spans="1:23" ht="27" customHeight="1" x14ac:dyDescent="0.3">
      <c r="A130" s="1173"/>
      <c r="B130" s="1235" t="str">
        <f>'III.Risk Assessment'!B63</f>
        <v>(ii)</v>
      </c>
      <c r="C130" s="1236" t="str">
        <f>'III.Risk Assessment'!C63</f>
        <v>RAD2</v>
      </c>
      <c r="D130" s="2471" t="str">
        <f>'III.Risk Assessment'!D63</f>
        <v>Will there be a strong system of safeguards, incentives and liabilities to manage contractor/sub-contractor/ equipment  supplier performance during O&amp;M?</v>
      </c>
      <c r="E130" s="2471"/>
      <c r="F130" s="2471"/>
      <c r="G130" s="2471"/>
      <c r="H130" s="2471"/>
      <c r="I130" s="2471"/>
      <c r="J130" s="2471"/>
      <c r="K130" s="2471"/>
      <c r="L130" s="2471"/>
      <c r="M130" s="2471"/>
      <c r="N130" s="2471"/>
      <c r="O130" s="2471"/>
      <c r="P130" s="2471"/>
      <c r="Q130" s="2421" t="str">
        <f>'III.Risk Assessment'!AB63</f>
        <v>Yes</v>
      </c>
      <c r="R130" s="2421"/>
      <c r="S130" s="2422">
        <f>'III.Risk Assessment'!AC63</f>
        <v>0</v>
      </c>
      <c r="T130" s="2422"/>
      <c r="U130" s="2422"/>
      <c r="V130" s="2423"/>
      <c r="W130" s="1176"/>
    </row>
    <row r="131" spans="1:23" ht="25.5" customHeight="1" x14ac:dyDescent="0.3">
      <c r="A131" s="1173"/>
      <c r="B131" s="1235" t="str">
        <f>'III.Risk Assessment'!B64</f>
        <v>(iii)</v>
      </c>
      <c r="C131" s="1236" t="str">
        <f>'III.Risk Assessment'!C64</f>
        <v>RAD3</v>
      </c>
      <c r="D131" s="2471" t="str">
        <f>'III.Risk Assessment'!D64</f>
        <v>Will the project be able to source the required skills locally or from overseas, in relation to the project's construction and O&amp;M (as applicable)?</v>
      </c>
      <c r="E131" s="2471"/>
      <c r="F131" s="2471"/>
      <c r="G131" s="2471"/>
      <c r="H131" s="2471"/>
      <c r="I131" s="2471"/>
      <c r="J131" s="2471"/>
      <c r="K131" s="2471"/>
      <c r="L131" s="2471"/>
      <c r="M131" s="2471"/>
      <c r="N131" s="2471"/>
      <c r="O131" s="2471"/>
      <c r="P131" s="2471"/>
      <c r="Q131" s="2421" t="str">
        <f>'III.Risk Assessment'!AB64</f>
        <v>Yes</v>
      </c>
      <c r="R131" s="2421"/>
      <c r="S131" s="2422">
        <f>'III.Risk Assessment'!AC64</f>
        <v>0</v>
      </c>
      <c r="T131" s="2422"/>
      <c r="U131" s="2422"/>
      <c r="V131" s="2423"/>
      <c r="W131" s="1176"/>
    </row>
    <row r="132" spans="1:23" s="1209" customFormat="1" x14ac:dyDescent="0.3">
      <c r="A132" s="1207"/>
      <c r="B132" s="1237">
        <f>'III.Risk Assessment'!B66</f>
        <v>5</v>
      </c>
      <c r="C132" s="1238"/>
      <c r="D132" s="1238" t="str">
        <f>'III.Risk Assessment'!D66</f>
        <v>Market Risk and Demand Risk</v>
      </c>
      <c r="E132" s="1239"/>
      <c r="F132" s="1239"/>
      <c r="G132" s="1239"/>
      <c r="H132" s="1239"/>
      <c r="I132" s="1239"/>
      <c r="J132" s="1239"/>
      <c r="K132" s="1239"/>
      <c r="L132" s="1239"/>
      <c r="M132" s="1239"/>
      <c r="N132" s="1239"/>
      <c r="O132" s="1239"/>
      <c r="P132" s="1239"/>
      <c r="Q132" s="1204" t="str">
        <f>'III.Risk Assessment'!AB66</f>
        <v/>
      </c>
      <c r="R132" s="1204"/>
      <c r="S132" s="1204"/>
      <c r="T132" s="1204"/>
      <c r="U132" s="1204"/>
      <c r="V132" s="1205"/>
      <c r="W132" s="1208"/>
    </row>
    <row r="133" spans="1:23" ht="27" customHeight="1" x14ac:dyDescent="0.3">
      <c r="A133" s="1173"/>
      <c r="B133" s="1235" t="str">
        <f>'III.Risk Assessment'!B67</f>
        <v>(i)</v>
      </c>
      <c r="C133" s="1236" t="str">
        <f>'III.Risk Assessment'!C67</f>
        <v>RAE1</v>
      </c>
      <c r="D133" s="2471" t="str">
        <f>'III.Risk Assessment'!D67</f>
        <v xml:space="preserve">Will the PPP have a ready baseline of demand or offtake that has been well established through historical data, firm off-take commitments, or exclusivity of service area? </v>
      </c>
      <c r="E133" s="2471"/>
      <c r="F133" s="2471"/>
      <c r="G133" s="2471"/>
      <c r="H133" s="2471"/>
      <c r="I133" s="2471"/>
      <c r="J133" s="2471"/>
      <c r="K133" s="2471"/>
      <c r="L133" s="2471"/>
      <c r="M133" s="2471"/>
      <c r="N133" s="2471"/>
      <c r="O133" s="2471"/>
      <c r="P133" s="2471"/>
      <c r="Q133" s="2421" t="str">
        <f>'III.Risk Assessment'!AB67</f>
        <v>Yes</v>
      </c>
      <c r="R133" s="2421"/>
      <c r="S133" s="2422">
        <f>'III.Risk Assessment'!AC67</f>
        <v>0</v>
      </c>
      <c r="T133" s="2422"/>
      <c r="U133" s="2422"/>
      <c r="V133" s="2423"/>
      <c r="W133" s="1176"/>
    </row>
    <row r="134" spans="1:23" ht="30" customHeight="1" x14ac:dyDescent="0.3">
      <c r="A134" s="1173"/>
      <c r="B134" s="1235" t="str">
        <f>'III.Risk Assessment'!B68</f>
        <v>(ii)</v>
      </c>
      <c r="C134" s="1236" t="str">
        <f>'III.Risk Assessment'!C68</f>
        <v>RAE2</v>
      </c>
      <c r="D134" s="2471" t="str">
        <f>'III.Risk Assessment'!D68</f>
        <v>Are there precedents of similar projects in the country or region, where the actual usage or offtake from the project facility in the initial years has been atleast 85% of the originally projected usage or off-take?</v>
      </c>
      <c r="E134" s="2471"/>
      <c r="F134" s="2471"/>
      <c r="G134" s="2471"/>
      <c r="H134" s="2471"/>
      <c r="I134" s="2471"/>
      <c r="J134" s="2471"/>
      <c r="K134" s="2471"/>
      <c r="L134" s="2471"/>
      <c r="M134" s="2471"/>
      <c r="N134" s="2471"/>
      <c r="O134" s="2471"/>
      <c r="P134" s="2471"/>
      <c r="Q134" s="2421" t="str">
        <f>'III.Risk Assessment'!AB68</f>
        <v>Yes</v>
      </c>
      <c r="R134" s="2421"/>
      <c r="S134" s="2422">
        <f>'III.Risk Assessment'!AC68</f>
        <v>0</v>
      </c>
      <c r="T134" s="2422"/>
      <c r="U134" s="2422"/>
      <c r="V134" s="2423"/>
      <c r="W134" s="1176"/>
    </row>
    <row r="135" spans="1:23" x14ac:dyDescent="0.3">
      <c r="A135" s="1173"/>
      <c r="B135" s="1235" t="str">
        <f>'III.Risk Assessment'!B69</f>
        <v>(iii)</v>
      </c>
      <c r="C135" s="1236" t="str">
        <f>'III.Risk Assessment'!C69</f>
        <v>RAE3</v>
      </c>
      <c r="D135" s="2471" t="str">
        <f>'III.Risk Assessment'!D69</f>
        <v>Are there competing projects in the defined market that could impact the ramping up of demand for this PPP project?</v>
      </c>
      <c r="E135" s="2471"/>
      <c r="F135" s="2471"/>
      <c r="G135" s="2471"/>
      <c r="H135" s="2471"/>
      <c r="I135" s="2471"/>
      <c r="J135" s="2471"/>
      <c r="K135" s="2471"/>
      <c r="L135" s="2471"/>
      <c r="M135" s="2471"/>
      <c r="N135" s="2471"/>
      <c r="O135" s="2471"/>
      <c r="P135" s="2471"/>
      <c r="Q135" s="2421" t="str">
        <f>'III.Risk Assessment'!AB69</f>
        <v>No</v>
      </c>
      <c r="R135" s="2421"/>
      <c r="S135" s="2422">
        <f>'III.Risk Assessment'!AC69</f>
        <v>0</v>
      </c>
      <c r="T135" s="2422"/>
      <c r="U135" s="2422"/>
      <c r="V135" s="2423"/>
      <c r="W135" s="1176"/>
    </row>
    <row r="136" spans="1:23" ht="27.6" customHeight="1" x14ac:dyDescent="0.3">
      <c r="A136" s="1173"/>
      <c r="B136" s="1235" t="str">
        <f>'III.Risk Assessment'!B70</f>
        <v>(iv)</v>
      </c>
      <c r="C136" s="1236" t="str">
        <f>'III.Risk Assessment'!C70</f>
        <v>RAE4</v>
      </c>
      <c r="D136" s="2471" t="str">
        <f>'III.Risk Assessment'!D70</f>
        <v>Is there an indication that user charges will be affordable to users? Such as through an assessment of the ability and willingness to pay of the users or benchmarking with similar projects.</v>
      </c>
      <c r="E136" s="2471"/>
      <c r="F136" s="2471"/>
      <c r="G136" s="2471"/>
      <c r="H136" s="2471"/>
      <c r="I136" s="2471"/>
      <c r="J136" s="2471"/>
      <c r="K136" s="2471"/>
      <c r="L136" s="2471"/>
      <c r="M136" s="2471"/>
      <c r="N136" s="2471"/>
      <c r="O136" s="2471"/>
      <c r="P136" s="2471"/>
      <c r="Q136" s="2421" t="str">
        <f>'III.Risk Assessment'!AB70</f>
        <v>Yes</v>
      </c>
      <c r="R136" s="2421"/>
      <c r="S136" s="2422">
        <f>'III.Risk Assessment'!AC70</f>
        <v>0</v>
      </c>
      <c r="T136" s="2422"/>
      <c r="U136" s="2422"/>
      <c r="V136" s="2423"/>
      <c r="W136" s="1176"/>
    </row>
    <row r="137" spans="1:23" ht="26.55" customHeight="1" x14ac:dyDescent="0.3">
      <c r="A137" s="1173"/>
      <c r="B137" s="1235" t="str">
        <f>'III.Risk Assessment'!B71</f>
        <v>(v)</v>
      </c>
      <c r="C137" s="1236" t="str">
        <f>'III.Risk Assessment'!C71</f>
        <v>RAE5</v>
      </c>
      <c r="D137" s="2471" t="str">
        <f>'III.Risk Assessment'!D71</f>
        <v>In case of delays in ramping up of demand, will the private sector have some flexibility in repricing tariffs to manage and off-set demand shortfalls in any given year, or would the government provide some level of cash deficiency support or assurances?</v>
      </c>
      <c r="E137" s="2471"/>
      <c r="F137" s="2471"/>
      <c r="G137" s="2471"/>
      <c r="H137" s="2471"/>
      <c r="I137" s="2471"/>
      <c r="J137" s="2471"/>
      <c r="K137" s="2471"/>
      <c r="L137" s="2471"/>
      <c r="M137" s="2471"/>
      <c r="N137" s="2471"/>
      <c r="O137" s="2471"/>
      <c r="P137" s="2471"/>
      <c r="Q137" s="2421" t="str">
        <f>'III.Risk Assessment'!AB71</f>
        <v>Yes</v>
      </c>
      <c r="R137" s="2421"/>
      <c r="S137" s="2422">
        <f>'III.Risk Assessment'!AC71</f>
        <v>0</v>
      </c>
      <c r="T137" s="2422"/>
      <c r="U137" s="2422"/>
      <c r="V137" s="2423"/>
      <c r="W137" s="1176"/>
    </row>
    <row r="138" spans="1:23" x14ac:dyDescent="0.3">
      <c r="A138" s="1173"/>
      <c r="B138" s="1235" t="str">
        <f>'III.Risk Assessment'!B72</f>
        <v>(vi)</v>
      </c>
      <c r="C138" s="1236" t="str">
        <f>'III.Risk Assessment'!C72</f>
        <v>RAE6</v>
      </c>
      <c r="D138" s="2471" t="str">
        <f>'III.Risk Assessment'!D72</f>
        <v xml:space="preserve">Is there a transparent and well-defined process for setting user charges and managing their increase? </v>
      </c>
      <c r="E138" s="2471"/>
      <c r="F138" s="2471"/>
      <c r="G138" s="2471"/>
      <c r="H138" s="2471"/>
      <c r="I138" s="2471"/>
      <c r="J138" s="2471"/>
      <c r="K138" s="2471"/>
      <c r="L138" s="2471"/>
      <c r="M138" s="2471"/>
      <c r="N138" s="2471"/>
      <c r="O138" s="2471"/>
      <c r="P138" s="2471"/>
      <c r="Q138" s="2421" t="str">
        <f>'III.Risk Assessment'!AB72</f>
        <v>Yes</v>
      </c>
      <c r="R138" s="2421"/>
      <c r="S138" s="2422">
        <f>'III.Risk Assessment'!AC72</f>
        <v>0</v>
      </c>
      <c r="T138" s="2422"/>
      <c r="U138" s="2422"/>
      <c r="V138" s="2423"/>
      <c r="W138" s="1176"/>
    </row>
    <row r="139" spans="1:23" s="1209" customFormat="1" x14ac:dyDescent="0.3">
      <c r="A139" s="1207"/>
      <c r="B139" s="1237">
        <f>'III.Risk Assessment'!B74</f>
        <v>6</v>
      </c>
      <c r="C139" s="1238"/>
      <c r="D139" s="1238" t="str">
        <f>'III.Risk Assessment'!D74</f>
        <v>Off Taker Risk</v>
      </c>
      <c r="E139" s="1239"/>
      <c r="F139" s="1239"/>
      <c r="G139" s="1239"/>
      <c r="H139" s="1239"/>
      <c r="I139" s="1239"/>
      <c r="J139" s="1239"/>
      <c r="K139" s="1239"/>
      <c r="L139" s="1239"/>
      <c r="M139" s="1239"/>
      <c r="N139" s="1239"/>
      <c r="O139" s="1239"/>
      <c r="P139" s="1239"/>
      <c r="Q139" s="1204" t="str">
        <f>'III.Risk Assessment'!AB74</f>
        <v/>
      </c>
      <c r="R139" s="1204"/>
      <c r="S139" s="1204"/>
      <c r="T139" s="1204"/>
      <c r="U139" s="1204"/>
      <c r="V139" s="1205"/>
      <c r="W139" s="1208"/>
    </row>
    <row r="140" spans="1:23" ht="32.549999999999997" customHeight="1" x14ac:dyDescent="0.3">
      <c r="A140" s="1173"/>
      <c r="B140" s="1235" t="str">
        <f>'III.Risk Assessment'!B75</f>
        <v>(i)</v>
      </c>
      <c r="C140" s="1236" t="str">
        <f>'III.Risk Assessment'!C75</f>
        <v>RAG2</v>
      </c>
      <c r="D140" s="2471" t="str">
        <f>'III.Risk Assessment'!D75</f>
        <v>Does the government counter party have high credit worthiness? Such as may be reflected through its financial position or outstanding credit ratings issued by independent credit rating agencies.</v>
      </c>
      <c r="E140" s="2471"/>
      <c r="F140" s="2471"/>
      <c r="G140" s="2471"/>
      <c r="H140" s="2471"/>
      <c r="I140" s="2471"/>
      <c r="J140" s="2471"/>
      <c r="K140" s="2471"/>
      <c r="L140" s="2471"/>
      <c r="M140" s="2471"/>
      <c r="N140" s="2471"/>
      <c r="O140" s="2471"/>
      <c r="P140" s="2471"/>
      <c r="Q140" s="2421" t="str">
        <f>'III.Risk Assessment'!AB75</f>
        <v>Yes</v>
      </c>
      <c r="R140" s="2421"/>
      <c r="S140" s="2422">
        <f>'III.Risk Assessment'!AC75</f>
        <v>0</v>
      </c>
      <c r="T140" s="2422"/>
      <c r="U140" s="2422"/>
      <c r="V140" s="2423"/>
      <c r="W140" s="1176"/>
    </row>
    <row r="141" spans="1:23" x14ac:dyDescent="0.3">
      <c r="A141" s="1173"/>
      <c r="B141" s="1235" t="str">
        <f>'III.Risk Assessment'!B76</f>
        <v>(ii)</v>
      </c>
      <c r="C141" s="1236" t="str">
        <f>'III.Risk Assessment'!C76</f>
        <v>RAG3</v>
      </c>
      <c r="D141" s="2471" t="str">
        <f>'III.Risk Assessment'!D76</f>
        <v>Are payments secured through budgetary arrangements and/or backed by dedicated funds or funding sources?</v>
      </c>
      <c r="E141" s="2471"/>
      <c r="F141" s="2471"/>
      <c r="G141" s="2471"/>
      <c r="H141" s="2471"/>
      <c r="I141" s="2471"/>
      <c r="J141" s="2471"/>
      <c r="K141" s="2471"/>
      <c r="L141" s="2471"/>
      <c r="M141" s="2471"/>
      <c r="N141" s="2471"/>
      <c r="O141" s="2471"/>
      <c r="P141" s="2471"/>
      <c r="Q141" s="2421" t="str">
        <f>'III.Risk Assessment'!AB76</f>
        <v>Yes</v>
      </c>
      <c r="R141" s="2421"/>
      <c r="S141" s="2422">
        <f>'III.Risk Assessment'!AC76</f>
        <v>0</v>
      </c>
      <c r="T141" s="2422"/>
      <c r="U141" s="2422"/>
      <c r="V141" s="2423"/>
      <c r="W141" s="1176"/>
    </row>
    <row r="142" spans="1:23" ht="30.6" customHeight="1" x14ac:dyDescent="0.3">
      <c r="A142" s="1173"/>
      <c r="B142" s="1235" t="str">
        <f>'III.Risk Assessment'!B77</f>
        <v>(iii)</v>
      </c>
      <c r="C142" s="1236" t="str">
        <f>'III.Risk Assessment'!C77</f>
        <v>RAG4</v>
      </c>
      <c r="D142" s="2471" t="str">
        <f>'III.Risk Assessment'!D77</f>
        <v>Are guarantees, payment security measures or other cash contingency measures envisaged to support the PPP project in obtaining timely payments in relation to the payment obligations of the contracting authority?</v>
      </c>
      <c r="E142" s="2471"/>
      <c r="F142" s="2471"/>
      <c r="G142" s="2471"/>
      <c r="H142" s="2471"/>
      <c r="I142" s="2471"/>
      <c r="J142" s="2471"/>
      <c r="K142" s="2471"/>
      <c r="L142" s="2471"/>
      <c r="M142" s="2471"/>
      <c r="N142" s="2471"/>
      <c r="O142" s="2471"/>
      <c r="P142" s="2471"/>
      <c r="Q142" s="2421" t="str">
        <f>'III.Risk Assessment'!AB77</f>
        <v>Yes</v>
      </c>
      <c r="R142" s="2421"/>
      <c r="S142" s="2422">
        <f>'III.Risk Assessment'!AC77</f>
        <v>0</v>
      </c>
      <c r="T142" s="2422"/>
      <c r="U142" s="2422"/>
      <c r="V142" s="2423"/>
      <c r="W142" s="1176"/>
    </row>
    <row r="143" spans="1:23" ht="29.55" customHeight="1" x14ac:dyDescent="0.3">
      <c r="A143" s="1173"/>
      <c r="B143" s="1235" t="str">
        <f>'III.Risk Assessment'!B78</f>
        <v>(iv)</v>
      </c>
      <c r="C143" s="1236" t="str">
        <f>'III.Risk Assessment'!C78</f>
        <v>RAG5</v>
      </c>
      <c r="D143" s="2471" t="str">
        <f>'III.Risk Assessment'!D78</f>
        <v>In the event of disputes on payments linked to performance measurements, are there arrangements envisaged to release the undisputed amount or is there a cap on the maximum amount that can be retained by the offtaker pending the dispute?</v>
      </c>
      <c r="E143" s="2471"/>
      <c r="F143" s="2471"/>
      <c r="G143" s="2471"/>
      <c r="H143" s="2471"/>
      <c r="I143" s="2471"/>
      <c r="J143" s="2471"/>
      <c r="K143" s="2471"/>
      <c r="L143" s="2471"/>
      <c r="M143" s="2471"/>
      <c r="N143" s="2471"/>
      <c r="O143" s="2471"/>
      <c r="P143" s="2471"/>
      <c r="Q143" s="2421" t="str">
        <f>'III.Risk Assessment'!AB78</f>
        <v>Yes</v>
      </c>
      <c r="R143" s="2421"/>
      <c r="S143" s="2422">
        <f>'III.Risk Assessment'!AC78</f>
        <v>0</v>
      </c>
      <c r="T143" s="2422"/>
      <c r="U143" s="2422"/>
      <c r="V143" s="2423"/>
      <c r="W143" s="1176"/>
    </row>
    <row r="144" spans="1:23" s="1209" customFormat="1" x14ac:dyDescent="0.3">
      <c r="A144" s="1207"/>
      <c r="B144" s="1237">
        <f>'III.Risk Assessment'!B80</f>
        <v>7</v>
      </c>
      <c r="C144" s="1238"/>
      <c r="D144" s="1238" t="str">
        <f>'III.Risk Assessment'!D80</f>
        <v>Foreign Exchange Risk</v>
      </c>
      <c r="E144" s="1239"/>
      <c r="F144" s="1239"/>
      <c r="G144" s="1239"/>
      <c r="H144" s="1239"/>
      <c r="I144" s="1239"/>
      <c r="J144" s="1239"/>
      <c r="K144" s="1239"/>
      <c r="L144" s="1239"/>
      <c r="M144" s="1239"/>
      <c r="N144" s="1239"/>
      <c r="O144" s="1239"/>
      <c r="P144" s="1239"/>
      <c r="Q144" s="1204" t="str">
        <f>'III.Risk Assessment'!AB80</f>
        <v/>
      </c>
      <c r="R144" s="1204"/>
      <c r="S144" s="1204"/>
      <c r="T144" s="1204"/>
      <c r="U144" s="1204"/>
      <c r="V144" s="1205"/>
      <c r="W144" s="1208"/>
    </row>
    <row r="145" spans="1:23" ht="29.55" customHeight="1" x14ac:dyDescent="0.3">
      <c r="A145" s="1173"/>
      <c r="B145" s="1235" t="str">
        <f>'III.Risk Assessment'!B81</f>
        <v>(i)</v>
      </c>
      <c r="C145" s="1236" t="str">
        <f>'III.Risk Assessment'!C81</f>
        <v>RAH3</v>
      </c>
      <c r="D145" s="2471" t="str">
        <f>'III.Risk Assessment'!D81</f>
        <v>Will the project be able to manage the foreign exchange risk by obtaining an adequate hedging cover? For example, through forward exchange contracts, options, or similar arrangements.</v>
      </c>
      <c r="E145" s="2471"/>
      <c r="F145" s="2471"/>
      <c r="G145" s="2471"/>
      <c r="H145" s="2471"/>
      <c r="I145" s="2471"/>
      <c r="J145" s="2471"/>
      <c r="K145" s="2471"/>
      <c r="L145" s="2471"/>
      <c r="M145" s="2471"/>
      <c r="N145" s="2471"/>
      <c r="O145" s="2471"/>
      <c r="P145" s="2471"/>
      <c r="Q145" s="2421" t="str">
        <f>'III.Risk Assessment'!AB81</f>
        <v>Yes</v>
      </c>
      <c r="R145" s="2421"/>
      <c r="S145" s="2422">
        <f>'III.Risk Assessment'!AC81</f>
        <v>0</v>
      </c>
      <c r="T145" s="2422"/>
      <c r="U145" s="2422"/>
      <c r="V145" s="2423"/>
      <c r="W145" s="1176"/>
    </row>
    <row r="146" spans="1:23" x14ac:dyDescent="0.3">
      <c r="A146" s="1173"/>
      <c r="B146" s="1235" t="str">
        <f>'III.Risk Assessment'!B82</f>
        <v>(ii)</v>
      </c>
      <c r="C146" s="1236" t="str">
        <f>'III.Risk Assessment'!C82</f>
        <v>RAH4</v>
      </c>
      <c r="D146" s="2471" t="str">
        <f>'III.Risk Assessment'!D82</f>
        <v>Have all the costs related to foreign exchange risk been factored into the financial assessment?</v>
      </c>
      <c r="E146" s="2471"/>
      <c r="F146" s="2471"/>
      <c r="G146" s="2471"/>
      <c r="H146" s="2471"/>
      <c r="I146" s="2471"/>
      <c r="J146" s="2471"/>
      <c r="K146" s="2471"/>
      <c r="L146" s="2471"/>
      <c r="M146" s="2471"/>
      <c r="N146" s="2471"/>
      <c r="O146" s="2471"/>
      <c r="P146" s="2471"/>
      <c r="Q146" s="2421" t="str">
        <f>'III.Risk Assessment'!AB82</f>
        <v>Yes</v>
      </c>
      <c r="R146" s="2421"/>
      <c r="S146" s="2422">
        <f>'III.Risk Assessment'!AC82</f>
        <v>0</v>
      </c>
      <c r="T146" s="2422"/>
      <c r="U146" s="2422"/>
      <c r="V146" s="2423"/>
      <c r="W146" s="1176"/>
    </row>
    <row r="147" spans="1:23" ht="27.6" customHeight="1" x14ac:dyDescent="0.3">
      <c r="A147" s="1173"/>
      <c r="B147" s="1235" t="str">
        <f>'III.Risk Assessment'!B83</f>
        <v>(iii)</v>
      </c>
      <c r="C147" s="1236" t="str">
        <f>'III.Risk Assessment'!C83</f>
        <v>RAH5</v>
      </c>
      <c r="D147" s="2471" t="str">
        <f>'III.Risk Assessment'!D83</f>
        <v>Are there any other factors or concerns related to foreign exchange risk that could severly impact the project's financial viability or ability to raise financing?</v>
      </c>
      <c r="E147" s="2471"/>
      <c r="F147" s="2471"/>
      <c r="G147" s="2471"/>
      <c r="H147" s="2471"/>
      <c r="I147" s="2471"/>
      <c r="J147" s="2471"/>
      <c r="K147" s="2471"/>
      <c r="L147" s="2471"/>
      <c r="M147" s="2471"/>
      <c r="N147" s="2471"/>
      <c r="O147" s="2471"/>
      <c r="P147" s="2471"/>
      <c r="Q147" s="2421" t="str">
        <f>'III.Risk Assessment'!AB83</f>
        <v>No</v>
      </c>
      <c r="R147" s="2421"/>
      <c r="S147" s="2422">
        <f>'III.Risk Assessment'!AC83</f>
        <v>0</v>
      </c>
      <c r="T147" s="2422"/>
      <c r="U147" s="2422"/>
      <c r="V147" s="2423"/>
      <c r="W147" s="1176"/>
    </row>
    <row r="148" spans="1:23" s="1209" customFormat="1" x14ac:dyDescent="0.3">
      <c r="A148" s="1207"/>
      <c r="B148" s="1237">
        <f>'III.Risk Assessment'!B85</f>
        <v>8</v>
      </c>
      <c r="C148" s="1238"/>
      <c r="D148" s="1238" t="str">
        <f>'III.Risk Assessment'!D85</f>
        <v>Environmental and Social Risk</v>
      </c>
      <c r="E148" s="1239"/>
      <c r="F148" s="1239"/>
      <c r="G148" s="1239"/>
      <c r="H148" s="1239"/>
      <c r="I148" s="1239"/>
      <c r="J148" s="1239"/>
      <c r="K148" s="1239"/>
      <c r="L148" s="1239"/>
      <c r="M148" s="1239"/>
      <c r="N148" s="1239"/>
      <c r="O148" s="1239"/>
      <c r="P148" s="1239"/>
      <c r="Q148" s="1204" t="str">
        <f>'III.Risk Assessment'!AB85</f>
        <v/>
      </c>
      <c r="R148" s="1204"/>
      <c r="S148" s="1204"/>
      <c r="T148" s="1204"/>
      <c r="U148" s="1204"/>
      <c r="V148" s="1205"/>
      <c r="W148" s="1208"/>
    </row>
    <row r="149" spans="1:23" x14ac:dyDescent="0.3">
      <c r="A149" s="1173"/>
      <c r="B149" s="1235" t="str">
        <f>'III.Risk Assessment'!B86</f>
        <v>(i)</v>
      </c>
      <c r="C149" s="1236" t="str">
        <f>'III.Risk Assessment'!C86</f>
        <v>RAI1</v>
      </c>
      <c r="D149" s="2471" t="str">
        <f>'III.Risk Assessment'!D86</f>
        <v>Is there a credible environmental and social impact analysis of the PPP?</v>
      </c>
      <c r="E149" s="2471"/>
      <c r="F149" s="2471"/>
      <c r="G149" s="2471"/>
      <c r="H149" s="2471"/>
      <c r="I149" s="2471"/>
      <c r="J149" s="2471"/>
      <c r="K149" s="2471"/>
      <c r="L149" s="2471"/>
      <c r="M149" s="2471"/>
      <c r="N149" s="2471"/>
      <c r="O149" s="2471"/>
      <c r="P149" s="2471"/>
      <c r="Q149" s="2421" t="str">
        <f>'III.Risk Assessment'!AB86</f>
        <v>Yes</v>
      </c>
      <c r="R149" s="2421"/>
      <c r="S149" s="2422">
        <f>'III.Risk Assessment'!AC86</f>
        <v>0</v>
      </c>
      <c r="T149" s="2422"/>
      <c r="U149" s="2422"/>
      <c r="V149" s="2423"/>
      <c r="W149" s="1176"/>
    </row>
    <row r="150" spans="1:23" x14ac:dyDescent="0.3">
      <c r="A150" s="1173"/>
      <c r="B150" s="1235" t="str">
        <f>'III.Risk Assessment'!B87</f>
        <v>(ii)</v>
      </c>
      <c r="C150" s="1236" t="str">
        <f>'III.Risk Assessment'!C87</f>
        <v>RAI2</v>
      </c>
      <c r="D150" s="2471" t="str">
        <f>'III.Risk Assessment'!D87</f>
        <v>Are the costs of mitigating the environmental and social impacts of the project considered in the PPP?</v>
      </c>
      <c r="E150" s="2471"/>
      <c r="F150" s="2471"/>
      <c r="G150" s="2471"/>
      <c r="H150" s="2471"/>
      <c r="I150" s="2471"/>
      <c r="J150" s="2471"/>
      <c r="K150" s="2471"/>
      <c r="L150" s="2471"/>
      <c r="M150" s="2471"/>
      <c r="N150" s="2471"/>
      <c r="O150" s="2471"/>
      <c r="P150" s="2471"/>
      <c r="Q150" s="2421" t="str">
        <f>'III.Risk Assessment'!AB87</f>
        <v>Yes</v>
      </c>
      <c r="R150" s="2421"/>
      <c r="S150" s="2422">
        <f>'III.Risk Assessment'!AC87</f>
        <v>0</v>
      </c>
      <c r="T150" s="2422"/>
      <c r="U150" s="2422"/>
      <c r="V150" s="2423"/>
      <c r="W150" s="1176"/>
    </row>
    <row r="151" spans="1:23" x14ac:dyDescent="0.3">
      <c r="A151" s="1173"/>
      <c r="B151" s="1235" t="str">
        <f>'III.Risk Assessment'!B88</f>
        <v>(iii)</v>
      </c>
      <c r="C151" s="1236" t="str">
        <f>'III.Risk Assessment'!C88</f>
        <v>RAI3</v>
      </c>
      <c r="D151" s="2471" t="str">
        <f>'III.Risk Assessment'!D88</f>
        <v>Can the private sector manage the environmental and social impact mitigation measures envisaged in its scope?</v>
      </c>
      <c r="E151" s="2471"/>
      <c r="F151" s="2471"/>
      <c r="G151" s="2471"/>
      <c r="H151" s="2471"/>
      <c r="I151" s="2471"/>
      <c r="J151" s="2471"/>
      <c r="K151" s="2471"/>
      <c r="L151" s="2471"/>
      <c r="M151" s="2471"/>
      <c r="N151" s="2471"/>
      <c r="O151" s="2471"/>
      <c r="P151" s="2471"/>
      <c r="Q151" s="2421" t="str">
        <f>'III.Risk Assessment'!AB88</f>
        <v>Yes</v>
      </c>
      <c r="R151" s="2421"/>
      <c r="S151" s="2422">
        <f>'III.Risk Assessment'!AC88</f>
        <v>0</v>
      </c>
      <c r="T151" s="2422"/>
      <c r="U151" s="2422"/>
      <c r="V151" s="2423"/>
      <c r="W151" s="1176"/>
    </row>
    <row r="152" spans="1:23" x14ac:dyDescent="0.3">
      <c r="A152" s="1173"/>
      <c r="B152" s="1235" t="str">
        <f>'III.Risk Assessment'!B89</f>
        <v>(iv)</v>
      </c>
      <c r="C152" s="1236" t="str">
        <f>'III.Risk Assessment'!C89</f>
        <v>RAI4</v>
      </c>
      <c r="D152" s="2471" t="str">
        <f>'III.Risk Assessment'!D89</f>
        <v>Will the private sector take on environmental and social risks applicable after the contract signing date and not prior period liabilities?</v>
      </c>
      <c r="E152" s="2471"/>
      <c r="F152" s="2471"/>
      <c r="G152" s="2471"/>
      <c r="H152" s="2471"/>
      <c r="I152" s="2471"/>
      <c r="J152" s="2471"/>
      <c r="K152" s="2471"/>
      <c r="L152" s="2471"/>
      <c r="M152" s="2471"/>
      <c r="N152" s="2471"/>
      <c r="O152" s="2471"/>
      <c r="P152" s="2471"/>
      <c r="Q152" s="2421" t="str">
        <f>'III.Risk Assessment'!AB89</f>
        <v>Yes</v>
      </c>
      <c r="R152" s="2421"/>
      <c r="S152" s="2422">
        <f>'III.Risk Assessment'!AC89</f>
        <v>0</v>
      </c>
      <c r="T152" s="2422"/>
      <c r="U152" s="2422"/>
      <c r="V152" s="2423"/>
      <c r="W152" s="1176"/>
    </row>
    <row r="153" spans="1:23" ht="29.55" customHeight="1" x14ac:dyDescent="0.3">
      <c r="A153" s="1173"/>
      <c r="B153" s="1235" t="str">
        <f>'III.Risk Assessment'!B90</f>
        <v>(v)</v>
      </c>
      <c r="C153" s="1236" t="str">
        <f>'III.Risk Assessment'!C90</f>
        <v>RAI5</v>
      </c>
      <c r="D153" s="2471" t="str">
        <f>'III.Risk Assessment'!D90</f>
        <v xml:space="preserve">Will there be contractual measures to ensure that the project financials are reset in the event of delays in executing mitigation for reasons beyond the control of the project company? </v>
      </c>
      <c r="E153" s="2471"/>
      <c r="F153" s="2471"/>
      <c r="G153" s="2471"/>
      <c r="H153" s="2471"/>
      <c r="I153" s="2471"/>
      <c r="J153" s="2471"/>
      <c r="K153" s="2471"/>
      <c r="L153" s="2471"/>
      <c r="M153" s="2471"/>
      <c r="N153" s="2471"/>
      <c r="O153" s="2471"/>
      <c r="P153" s="2471"/>
      <c r="Q153" s="2421" t="str">
        <f>'III.Risk Assessment'!AB90</f>
        <v>Yes</v>
      </c>
      <c r="R153" s="2421"/>
      <c r="S153" s="2422">
        <f>'III.Risk Assessment'!AC90</f>
        <v>0</v>
      </c>
      <c r="T153" s="2422"/>
      <c r="U153" s="2422"/>
      <c r="V153" s="2423"/>
      <c r="W153" s="1176"/>
    </row>
    <row r="154" spans="1:23" ht="18" customHeight="1" x14ac:dyDescent="0.3">
      <c r="A154" s="1173"/>
      <c r="B154" s="2477" t="s">
        <v>558</v>
      </c>
      <c r="C154" s="2478"/>
      <c r="D154" s="2478"/>
      <c r="E154" s="1240"/>
      <c r="F154" s="1240"/>
      <c r="G154" s="1240"/>
      <c r="H154" s="1240"/>
      <c r="I154" s="1240"/>
      <c r="J154" s="1240"/>
      <c r="K154" s="1240"/>
      <c r="L154" s="1240"/>
      <c r="M154" s="1240"/>
      <c r="N154" s="1240"/>
      <c r="O154" s="1240"/>
      <c r="P154" s="1240"/>
      <c r="Q154" s="2470"/>
      <c r="R154" s="2470"/>
      <c r="S154" s="1210"/>
      <c r="T154" s="1210"/>
      <c r="U154" s="1210"/>
      <c r="V154" s="1211"/>
      <c r="W154" s="1176"/>
    </row>
    <row r="155" spans="1:23" x14ac:dyDescent="0.3">
      <c r="A155" s="1173"/>
      <c r="B155" s="1241" t="s">
        <v>31</v>
      </c>
      <c r="C155" s="1242"/>
      <c r="D155" s="1243" t="s">
        <v>91</v>
      </c>
      <c r="E155" s="1244"/>
      <c r="F155" s="1244"/>
      <c r="G155" s="1244"/>
      <c r="H155" s="1244"/>
      <c r="I155" s="1244"/>
      <c r="J155" s="1244"/>
      <c r="K155" s="1244"/>
      <c r="L155" s="1244"/>
      <c r="M155" s="1244"/>
      <c r="N155" s="1244"/>
      <c r="O155" s="1244"/>
      <c r="P155" s="1242"/>
      <c r="Q155" s="2238" t="s">
        <v>32</v>
      </c>
      <c r="R155" s="2238"/>
      <c r="S155" s="2238" t="s">
        <v>115</v>
      </c>
      <c r="T155" s="2238"/>
      <c r="U155" s="2238"/>
      <c r="V155" s="2458"/>
      <c r="W155" s="1176"/>
    </row>
    <row r="156" spans="1:23" x14ac:dyDescent="0.3">
      <c r="A156" s="1173"/>
      <c r="B156" s="1245">
        <f>abilitya</f>
        <v>1</v>
      </c>
      <c r="C156" s="1246"/>
      <c r="D156" s="1247" t="str">
        <f>'IV.PPP Suitability'!D31</f>
        <v>Value for Money</v>
      </c>
      <c r="E156" s="1246"/>
      <c r="F156" s="1246"/>
      <c r="G156" s="1246"/>
      <c r="H156" s="1246"/>
      <c r="I156" s="1246"/>
      <c r="J156" s="1246"/>
      <c r="K156" s="1246"/>
      <c r="L156" s="1246"/>
      <c r="M156" s="1246"/>
      <c r="N156" s="1246"/>
      <c r="O156" s="1246"/>
      <c r="P156" s="1246"/>
      <c r="Q156" s="1212"/>
      <c r="R156" s="1212"/>
      <c r="S156" s="1212"/>
      <c r="T156" s="1212"/>
      <c r="U156" s="1212"/>
      <c r="V156" s="1213"/>
      <c r="W156" s="1176"/>
    </row>
    <row r="157" spans="1:23" ht="14.55" customHeight="1" x14ac:dyDescent="0.3">
      <c r="A157" s="1173"/>
      <c r="B157" s="1248" t="str">
        <f>'IV.PPP Suitability'!B32</f>
        <v>A</v>
      </c>
      <c r="C157" s="1224"/>
      <c r="D157" s="2435" t="str">
        <f>'IV.PPP Suitability'!D32</f>
        <v>Qualitative assessment of Value for Money</v>
      </c>
      <c r="E157" s="2435"/>
      <c r="F157" s="2435"/>
      <c r="G157" s="2435"/>
      <c r="H157" s="2435"/>
      <c r="I157" s="1236"/>
      <c r="J157" s="1236"/>
      <c r="K157" s="1236"/>
      <c r="L157" s="1236"/>
      <c r="M157" s="1236"/>
      <c r="N157" s="1236"/>
      <c r="O157" s="1236"/>
      <c r="P157" s="1236"/>
      <c r="Q157" s="1184"/>
      <c r="R157" s="1184" t="str">
        <f>'IV.PPP Suitability'!AC32</f>
        <v/>
      </c>
      <c r="S157" s="1184"/>
      <c r="T157" s="1184"/>
      <c r="U157" s="1184"/>
      <c r="V157" s="1214"/>
      <c r="W157" s="1176"/>
    </row>
    <row r="158" spans="1:23" x14ac:dyDescent="0.3">
      <c r="A158" s="1173"/>
      <c r="B158" s="1235" t="str">
        <f>'IV.PPP Suitability'!B33</f>
        <v>(i)</v>
      </c>
      <c r="C158" s="1236" t="str">
        <f>'IV.PPP Suitability'!C33</f>
        <v>PAA1</v>
      </c>
      <c r="D158" s="2420" t="str">
        <f>'IV.PPP Suitability'!D33</f>
        <v>Do the project size and contract duration have the potential to maximize private sector efficiency?</v>
      </c>
      <c r="E158" s="2420"/>
      <c r="F158" s="2420"/>
      <c r="G158" s="2420"/>
      <c r="H158" s="2420"/>
      <c r="I158" s="2420"/>
      <c r="J158" s="2420"/>
      <c r="K158" s="2420"/>
      <c r="L158" s="2420"/>
      <c r="M158" s="2420"/>
      <c r="N158" s="2420"/>
      <c r="O158" s="2420"/>
      <c r="P158" s="2420"/>
      <c r="Q158" s="2421" t="str">
        <f>'IV.PPP Suitability'!AC33</f>
        <v>Yes</v>
      </c>
      <c r="R158" s="2421"/>
      <c r="S158" s="2422">
        <f>'IV.PPP Suitability'!AD33</f>
        <v>0</v>
      </c>
      <c r="T158" s="2422"/>
      <c r="U158" s="2422"/>
      <c r="V158" s="2423"/>
      <c r="W158" s="1176"/>
    </row>
    <row r="159" spans="1:23" ht="45" customHeight="1" x14ac:dyDescent="0.3">
      <c r="A159" s="1173"/>
      <c r="B159" s="1235" t="str">
        <f>'IV.PPP Suitability'!B34</f>
        <v>(ii)</v>
      </c>
      <c r="C159" s="1236" t="str">
        <f>'IV.PPP Suitability'!C34</f>
        <v>PAA2</v>
      </c>
      <c r="D159" s="2420" t="str">
        <f>'IV.PPP Suitability'!D34</f>
        <v>Does the PPP adequately integrate responsibility for design, build and finance with O&amp;M risks under one party that enables the private sector to derive efficiency gains from better management (than what the public sector could have achieved) of the whole-of-life-cycle costs of the project?</v>
      </c>
      <c r="E159" s="2420"/>
      <c r="F159" s="2420"/>
      <c r="G159" s="2420"/>
      <c r="H159" s="2420"/>
      <c r="I159" s="2420"/>
      <c r="J159" s="2420"/>
      <c r="K159" s="2420"/>
      <c r="L159" s="2420"/>
      <c r="M159" s="2420"/>
      <c r="N159" s="2420"/>
      <c r="O159" s="2420"/>
      <c r="P159" s="2420"/>
      <c r="Q159" s="2421" t="str">
        <f>'IV.PPP Suitability'!AC34</f>
        <v>Yes</v>
      </c>
      <c r="R159" s="2421"/>
      <c r="S159" s="2422">
        <f>'IV.PPP Suitability'!AD34</f>
        <v>0</v>
      </c>
      <c r="T159" s="2422"/>
      <c r="U159" s="2422"/>
      <c r="V159" s="2423"/>
      <c r="W159" s="1176"/>
    </row>
    <row r="160" spans="1:23" ht="30" customHeight="1" x14ac:dyDescent="0.3">
      <c r="A160" s="1173"/>
      <c r="B160" s="1235" t="str">
        <f>'IV.PPP Suitability'!B35</f>
        <v>(iii)</v>
      </c>
      <c r="C160" s="1236" t="str">
        <f>'IV.PPP Suitability'!C35</f>
        <v>PAA3</v>
      </c>
      <c r="D160" s="2420" t="str">
        <f>'IV.PPP Suitability'!D35</f>
        <v xml:space="preserve">Is there potential for the private sector to operate and manage the project more efficiently than the public sector to decrease the project’s whole-of-life-costs? </v>
      </c>
      <c r="E160" s="2420"/>
      <c r="F160" s="2420"/>
      <c r="G160" s="2420"/>
      <c r="H160" s="2420"/>
      <c r="I160" s="2420"/>
      <c r="J160" s="2420"/>
      <c r="K160" s="2420"/>
      <c r="L160" s="2420"/>
      <c r="M160" s="2420"/>
      <c r="N160" s="2420"/>
      <c r="O160" s="2420"/>
      <c r="P160" s="2420"/>
      <c r="Q160" s="2421" t="str">
        <f>'IV.PPP Suitability'!AC35</f>
        <v>Yes</v>
      </c>
      <c r="R160" s="2421"/>
      <c r="S160" s="2422">
        <f>'IV.PPP Suitability'!AD35</f>
        <v>0</v>
      </c>
      <c r="T160" s="2422"/>
      <c r="U160" s="2422"/>
      <c r="V160" s="2423"/>
      <c r="W160" s="1176"/>
    </row>
    <row r="161" spans="1:23" ht="32.25" customHeight="1" x14ac:dyDescent="0.3">
      <c r="A161" s="1173"/>
      <c r="B161" s="1235" t="str">
        <f>'IV.PPP Suitability'!B36</f>
        <v>(iv)</v>
      </c>
      <c r="C161" s="1236" t="str">
        <f>'IV.PPP Suitability'!C36</f>
        <v>PAA4</v>
      </c>
      <c r="D161" s="2420" t="str">
        <f>'IV.PPP Suitability'!D36</f>
        <v>Is there potential for a private operator to generate higher revenues than the public sector would have through better utilization of the project assets?</v>
      </c>
      <c r="E161" s="2420"/>
      <c r="F161" s="2420"/>
      <c r="G161" s="2420"/>
      <c r="H161" s="2420"/>
      <c r="I161" s="2420"/>
      <c r="J161" s="2420"/>
      <c r="K161" s="2420"/>
      <c r="L161" s="2420"/>
      <c r="M161" s="2420"/>
      <c r="N161" s="2420"/>
      <c r="O161" s="2420"/>
      <c r="P161" s="2420"/>
      <c r="Q161" s="2421" t="str">
        <f>'IV.PPP Suitability'!AC36</f>
        <v>Yes</v>
      </c>
      <c r="R161" s="2421"/>
      <c r="S161" s="2422">
        <f>'IV.PPP Suitability'!AD36</f>
        <v>0</v>
      </c>
      <c r="T161" s="2422"/>
      <c r="U161" s="2422"/>
      <c r="V161" s="2423"/>
      <c r="W161" s="1176"/>
    </row>
    <row r="162" spans="1:23" x14ac:dyDescent="0.3">
      <c r="A162" s="1173"/>
      <c r="B162" s="1235" t="str">
        <f>'IV.PPP Suitability'!B37</f>
        <v>(v)</v>
      </c>
      <c r="C162" s="1236" t="str">
        <f>'IV.PPP Suitability'!C37</f>
        <v>PAA5</v>
      </c>
      <c r="D162" s="2420" t="str">
        <f>'IV.PPP Suitability'!D37</f>
        <v xml:space="preserve">Are payments to the private sector linked to performance and based on easily measurable and quantifiable outputs? </v>
      </c>
      <c r="E162" s="2420"/>
      <c r="F162" s="2420"/>
      <c r="G162" s="2420"/>
      <c r="H162" s="2420"/>
      <c r="I162" s="2420"/>
      <c r="J162" s="2420"/>
      <c r="K162" s="2420"/>
      <c r="L162" s="2420"/>
      <c r="M162" s="2420"/>
      <c r="N162" s="2420"/>
      <c r="O162" s="2420"/>
      <c r="P162" s="2420"/>
      <c r="Q162" s="2421" t="str">
        <f>'IV.PPP Suitability'!AC37</f>
        <v>Yes</v>
      </c>
      <c r="R162" s="2421"/>
      <c r="S162" s="2422">
        <f>'IV.PPP Suitability'!AD37</f>
        <v>0</v>
      </c>
      <c r="T162" s="2422"/>
      <c r="U162" s="2422"/>
      <c r="V162" s="2423"/>
      <c r="W162" s="1176"/>
    </row>
    <row r="163" spans="1:23" ht="14.55" customHeight="1" x14ac:dyDescent="0.3">
      <c r="A163" s="1173"/>
      <c r="B163" s="1248" t="str">
        <f>'IV.PPP Suitability'!B38</f>
        <v>B</v>
      </c>
      <c r="C163" s="1224"/>
      <c r="D163" s="2435" t="str">
        <f>'IV.PPP Suitability'!D38</f>
        <v>Quantitative assessment of Value for Money</v>
      </c>
      <c r="E163" s="2435"/>
      <c r="F163" s="2435"/>
      <c r="G163" s="2435"/>
      <c r="H163" s="2435"/>
      <c r="I163" s="2435"/>
      <c r="J163" s="2435"/>
      <c r="K163" s="2435"/>
      <c r="L163" s="2435"/>
      <c r="M163" s="2435"/>
      <c r="N163" s="2435"/>
      <c r="O163" s="2435"/>
      <c r="P163" s="2435"/>
      <c r="Q163" s="2421" t="str">
        <f>'IV.PPP Suitability'!AC38</f>
        <v>Yes</v>
      </c>
      <c r="R163" s="2421"/>
      <c r="S163" s="1231"/>
      <c r="T163" s="1231"/>
      <c r="U163" s="1231"/>
      <c r="V163" s="1232"/>
      <c r="W163" s="1176"/>
    </row>
    <row r="164" spans="1:23" x14ac:dyDescent="0.3">
      <c r="A164" s="1173"/>
      <c r="B164" s="1235" t="str">
        <f>'IV.PPP Suitability'!B39</f>
        <v>(i)</v>
      </c>
      <c r="C164" s="1236" t="str">
        <f>'IV.PPP Suitability'!C39</f>
        <v>PAB1</v>
      </c>
      <c r="D164" s="2420" t="str">
        <f>'IV.PPP Suitability'!D39</f>
        <v>Are the modeling assumptions backed by historical or empirical data?</v>
      </c>
      <c r="E164" s="2420"/>
      <c r="F164" s="2420"/>
      <c r="G164" s="2420"/>
      <c r="H164" s="2420"/>
      <c r="I164" s="2420"/>
      <c r="J164" s="2420"/>
      <c r="K164" s="2420"/>
      <c r="L164" s="2420"/>
      <c r="M164" s="2420"/>
      <c r="N164" s="2420"/>
      <c r="O164" s="2420"/>
      <c r="P164" s="2420"/>
      <c r="Q164" s="2421" t="str">
        <f>'IV.PPP Suitability'!AC39</f>
        <v>Yes</v>
      </c>
      <c r="R164" s="2421"/>
      <c r="S164" s="2422">
        <f>'IV.PPP Suitability'!AD39</f>
        <v>0</v>
      </c>
      <c r="T164" s="2422"/>
      <c r="U164" s="2422"/>
      <c r="V164" s="2423"/>
      <c r="W164" s="1176"/>
    </row>
    <row r="165" spans="1:23" x14ac:dyDescent="0.3">
      <c r="A165" s="1173"/>
      <c r="B165" s="1235" t="str">
        <f>'IV.PPP Suitability'!B40</f>
        <v>(ii)</v>
      </c>
      <c r="C165" s="1236" t="str">
        <f>'IV.PPP Suitability'!C40</f>
        <v>PAB2</v>
      </c>
      <c r="D165" s="2420" t="str">
        <f>'IV.PPP Suitability'!D40</f>
        <v>Is the value for money (VFM) for the project greater than the threshold VFM requirement?</v>
      </c>
      <c r="E165" s="2420"/>
      <c r="F165" s="2420"/>
      <c r="G165" s="2420"/>
      <c r="H165" s="2420"/>
      <c r="I165" s="2420"/>
      <c r="J165" s="2420"/>
      <c r="K165" s="2420"/>
      <c r="L165" s="2420"/>
      <c r="M165" s="2420"/>
      <c r="N165" s="2420"/>
      <c r="O165" s="2420"/>
      <c r="P165" s="2420"/>
      <c r="Q165" s="2421" t="str">
        <f>'IV.PPP Suitability'!AC40</f>
        <v>Yes</v>
      </c>
      <c r="R165" s="2421"/>
      <c r="S165" s="2422">
        <f>'IV.PPP Suitability'!AD40</f>
        <v>0</v>
      </c>
      <c r="T165" s="2422"/>
      <c r="U165" s="2422"/>
      <c r="V165" s="2423"/>
      <c r="W165" s="1176"/>
    </row>
    <row r="166" spans="1:23" x14ac:dyDescent="0.3">
      <c r="A166" s="1173"/>
      <c r="B166" s="1235" t="str">
        <f>'IV.PPP Suitability'!B41</f>
        <v>(iii)</v>
      </c>
      <c r="C166" s="1236" t="str">
        <f>'IV.PPP Suitability'!C41</f>
        <v>PAB3</v>
      </c>
      <c r="D166" s="2420" t="str">
        <f>'IV.PPP Suitability'!D41</f>
        <v>Will the VFM for the project remain greater than the threshold rate in the stress (or low) case scenario?</v>
      </c>
      <c r="E166" s="2420"/>
      <c r="F166" s="2420"/>
      <c r="G166" s="2420"/>
      <c r="H166" s="2420"/>
      <c r="I166" s="2420"/>
      <c r="J166" s="2420"/>
      <c r="K166" s="2420"/>
      <c r="L166" s="2420"/>
      <c r="M166" s="2420"/>
      <c r="N166" s="2420"/>
      <c r="O166" s="2420"/>
      <c r="P166" s="2420"/>
      <c r="Q166" s="2421" t="str">
        <f>'IV.PPP Suitability'!AC41</f>
        <v>Yes</v>
      </c>
      <c r="R166" s="2421"/>
      <c r="S166" s="2422">
        <f>'IV.PPP Suitability'!AD41</f>
        <v>0</v>
      </c>
      <c r="T166" s="2422"/>
      <c r="U166" s="2422"/>
      <c r="V166" s="2423"/>
      <c r="W166" s="1176"/>
    </row>
    <row r="167" spans="1:23" x14ac:dyDescent="0.3">
      <c r="A167" s="1173"/>
      <c r="B167" s="1245">
        <f>'IV.PPP Suitability'!B43</f>
        <v>2</v>
      </c>
      <c r="C167" s="1247"/>
      <c r="D167" s="1247" t="str">
        <f>'IV.PPP Suitability'!D43</f>
        <v>Market appetite</v>
      </c>
      <c r="E167" s="1246"/>
      <c r="F167" s="1246"/>
      <c r="G167" s="1246"/>
      <c r="H167" s="1246"/>
      <c r="I167" s="1246"/>
      <c r="J167" s="1246"/>
      <c r="K167" s="1246"/>
      <c r="L167" s="1246"/>
      <c r="M167" s="1246"/>
      <c r="N167" s="1246"/>
      <c r="O167" s="1246"/>
      <c r="P167" s="1246"/>
      <c r="Q167" s="2459"/>
      <c r="R167" s="2459"/>
      <c r="S167" s="1212"/>
      <c r="T167" s="1212"/>
      <c r="U167" s="1212"/>
      <c r="V167" s="1213"/>
      <c r="W167" s="1176"/>
    </row>
    <row r="168" spans="1:23" x14ac:dyDescent="0.3">
      <c r="A168" s="1173"/>
      <c r="B168" s="1235" t="str">
        <f>'IV.PPP Suitability'!B44</f>
        <v>(i)</v>
      </c>
      <c r="C168" s="1236" t="str">
        <f>'IV.PPP Suitability'!C44</f>
        <v>PAC1</v>
      </c>
      <c r="D168" s="2420" t="str">
        <f>'IV.PPP Suitability'!D44</f>
        <v>Is there a favorable response expected from the private sector towards the project? For example, as gauged by the contracting agency through preliminary market consultations or similar investor interactions.</v>
      </c>
      <c r="E168" s="2420"/>
      <c r="F168" s="2420"/>
      <c r="G168" s="2420"/>
      <c r="H168" s="2420"/>
      <c r="I168" s="2420"/>
      <c r="J168" s="2420"/>
      <c r="K168" s="2420"/>
      <c r="L168" s="2420"/>
      <c r="M168" s="2420"/>
      <c r="N168" s="2420"/>
      <c r="O168" s="2420"/>
      <c r="P168" s="2420"/>
      <c r="Q168" s="2421" t="str">
        <f>'IV.PPP Suitability'!AC44</f>
        <v>Yes</v>
      </c>
      <c r="R168" s="2421"/>
      <c r="S168" s="2422">
        <f>'IV.PPP Suitability'!AD44</f>
        <v>0</v>
      </c>
      <c r="T168" s="2422"/>
      <c r="U168" s="2422"/>
      <c r="V168" s="2423"/>
      <c r="W168" s="1176"/>
    </row>
    <row r="169" spans="1:23" x14ac:dyDescent="0.3">
      <c r="A169" s="1173"/>
      <c r="B169" s="1235" t="str">
        <f>'IV.PPP Suitability'!B45</f>
        <v>(ii)</v>
      </c>
      <c r="C169" s="1236" t="str">
        <f>'IV.PPP Suitability'!C45</f>
        <v>PAC2</v>
      </c>
      <c r="D169" s="2420" t="str">
        <f>'IV.PPP Suitability'!D45</f>
        <v>Have similar PPP projects been successfully implemented in the past in the country or region?</v>
      </c>
      <c r="E169" s="2420"/>
      <c r="F169" s="2420"/>
      <c r="G169" s="2420"/>
      <c r="H169" s="2420"/>
      <c r="I169" s="2420"/>
      <c r="J169" s="2420"/>
      <c r="K169" s="2420"/>
      <c r="L169" s="2420"/>
      <c r="M169" s="2420"/>
      <c r="N169" s="2420"/>
      <c r="O169" s="2420"/>
      <c r="P169" s="2420"/>
      <c r="Q169" s="2421" t="str">
        <f>'IV.PPP Suitability'!AC45</f>
        <v>Yes</v>
      </c>
      <c r="R169" s="2421"/>
      <c r="S169" s="2422">
        <f>'IV.PPP Suitability'!AD45</f>
        <v>0</v>
      </c>
      <c r="T169" s="2422"/>
      <c r="U169" s="2422"/>
      <c r="V169" s="2423"/>
      <c r="W169" s="1176"/>
    </row>
    <row r="170" spans="1:23" x14ac:dyDescent="0.3">
      <c r="A170" s="1173"/>
      <c r="B170" s="1235" t="str">
        <f>'IV.PPP Suitability'!B46</f>
        <v>(iii)</v>
      </c>
      <c r="C170" s="1236" t="str">
        <f>'IV.PPP Suitability'!C46</f>
        <v>PAC3</v>
      </c>
      <c r="D170" s="2420" t="str">
        <f>'IV.PPP Suitability'!D46</f>
        <v>Will debt financing be available for the project with a relatively long tenure (more than 7 years) and at a reasonable cost?</v>
      </c>
      <c r="E170" s="2420"/>
      <c r="F170" s="2420"/>
      <c r="G170" s="2420"/>
      <c r="H170" s="2420"/>
      <c r="I170" s="2420"/>
      <c r="J170" s="2420"/>
      <c r="K170" s="2420"/>
      <c r="L170" s="2420"/>
      <c r="M170" s="2420"/>
      <c r="N170" s="2420"/>
      <c r="O170" s="2420"/>
      <c r="P170" s="2420"/>
      <c r="Q170" s="2421" t="str">
        <f>'IV.PPP Suitability'!AC46</f>
        <v>Yes</v>
      </c>
      <c r="R170" s="2421"/>
      <c r="S170" s="2422">
        <f>'IV.PPP Suitability'!AD46</f>
        <v>0</v>
      </c>
      <c r="T170" s="2422"/>
      <c r="U170" s="2422"/>
      <c r="V170" s="2423"/>
      <c r="W170" s="1176"/>
    </row>
    <row r="171" spans="1:23" x14ac:dyDescent="0.3">
      <c r="A171" s="1173"/>
      <c r="B171" s="1235" t="str">
        <f>'IV.PPP Suitability'!B47</f>
        <v>(iv)</v>
      </c>
      <c r="C171" s="1236" t="str">
        <f>'IV.PPP Suitability'!C47</f>
        <v>PAC4</v>
      </c>
      <c r="D171" s="2420" t="str">
        <f>'IV.PPP Suitability'!D47</f>
        <v>Is the project eligible for government funding support?</v>
      </c>
      <c r="E171" s="2420"/>
      <c r="F171" s="2420"/>
      <c r="G171" s="2420"/>
      <c r="H171" s="2420"/>
      <c r="I171" s="2420"/>
      <c r="J171" s="2420"/>
      <c r="K171" s="2420"/>
      <c r="L171" s="2420"/>
      <c r="M171" s="2420"/>
      <c r="N171" s="2420"/>
      <c r="O171" s="2420"/>
      <c r="P171" s="2420"/>
      <c r="Q171" s="2421" t="str">
        <f>'IV.PPP Suitability'!AC47</f>
        <v>Yes</v>
      </c>
      <c r="R171" s="2421"/>
      <c r="S171" s="2422">
        <f>'IV.PPP Suitability'!AD47</f>
        <v>0</v>
      </c>
      <c r="T171" s="2422"/>
      <c r="U171" s="2422"/>
      <c r="V171" s="2423"/>
      <c r="W171" s="1176"/>
    </row>
    <row r="172" spans="1:23" x14ac:dyDescent="0.3">
      <c r="A172" s="1173"/>
      <c r="B172" s="1235" t="str">
        <f>'IV.PPP Suitability'!B48</f>
        <v>(v)</v>
      </c>
      <c r="C172" s="1236" t="str">
        <f>'IV.PPP Suitability'!C48</f>
        <v>PAC5</v>
      </c>
      <c r="D172" s="2420" t="str">
        <f>'IV.PPP Suitability'!D48</f>
        <v>Is the project eligible for funding/ guarantees from  multilateral/donor agencies?</v>
      </c>
      <c r="E172" s="2420"/>
      <c r="F172" s="2420"/>
      <c r="G172" s="2420"/>
      <c r="H172" s="2420"/>
      <c r="I172" s="2420"/>
      <c r="J172" s="2420"/>
      <c r="K172" s="2420"/>
      <c r="L172" s="2420"/>
      <c r="M172" s="2420"/>
      <c r="N172" s="2420"/>
      <c r="O172" s="2420"/>
      <c r="P172" s="2420"/>
      <c r="Q172" s="2421" t="str">
        <f>'IV.PPP Suitability'!AC48</f>
        <v>Yes</v>
      </c>
      <c r="R172" s="2421"/>
      <c r="S172" s="2422">
        <f>'IV.PPP Suitability'!AD48</f>
        <v>0</v>
      </c>
      <c r="T172" s="2422"/>
      <c r="U172" s="2422"/>
      <c r="V172" s="2423"/>
      <c r="W172" s="1176"/>
    </row>
    <row r="173" spans="1:23" ht="14.55" customHeight="1" x14ac:dyDescent="0.3">
      <c r="A173" s="1173"/>
      <c r="B173" s="2472" t="s">
        <v>309</v>
      </c>
      <c r="C173" s="2473"/>
      <c r="D173" s="2473"/>
      <c r="E173" s="2473"/>
      <c r="F173" s="2473"/>
      <c r="G173" s="2473"/>
      <c r="H173" s="2473"/>
      <c r="I173" s="2473"/>
      <c r="J173" s="2473"/>
      <c r="K173" s="1249"/>
      <c r="L173" s="1249"/>
      <c r="M173" s="1249"/>
      <c r="N173" s="1249"/>
      <c r="O173" s="1249"/>
      <c r="P173" s="1249"/>
      <c r="Q173" s="1215"/>
      <c r="R173" s="1215"/>
      <c r="S173" s="1215"/>
      <c r="T173" s="1215"/>
      <c r="U173" s="1215"/>
      <c r="V173" s="1216"/>
      <c r="W173" s="1176"/>
    </row>
    <row r="174" spans="1:23" x14ac:dyDescent="0.3">
      <c r="A174" s="1173"/>
      <c r="B174" s="1241" t="s">
        <v>31</v>
      </c>
      <c r="C174" s="1242"/>
      <c r="D174" s="1243" t="s">
        <v>91</v>
      </c>
      <c r="E174" s="1243"/>
      <c r="F174" s="1242"/>
      <c r="G174" s="1242"/>
      <c r="H174" s="1242"/>
      <c r="I174" s="1242"/>
      <c r="J174" s="1242"/>
      <c r="K174" s="1242"/>
      <c r="L174" s="1242"/>
      <c r="M174" s="1242"/>
      <c r="N174" s="1242"/>
      <c r="O174" s="1242"/>
      <c r="P174" s="1244"/>
      <c r="Q174" s="2238" t="s">
        <v>32</v>
      </c>
      <c r="R174" s="2238"/>
      <c r="S174" s="2238" t="s">
        <v>115</v>
      </c>
      <c r="T174" s="2238"/>
      <c r="U174" s="2238"/>
      <c r="V174" s="2458"/>
      <c r="W174" s="1176"/>
    </row>
    <row r="175" spans="1:23" s="1209" customFormat="1" ht="14.55" customHeight="1" x14ac:dyDescent="0.3">
      <c r="A175" s="1207"/>
      <c r="B175" s="1250">
        <f>'V.Fiscal Affordability'!B33</f>
        <v>1</v>
      </c>
      <c r="C175" s="1251"/>
      <c r="D175" s="2474" t="str">
        <f>'V.Fiscal Affordability'!E33</f>
        <v>Extent and Nature of Government Fiscal Support</v>
      </c>
      <c r="E175" s="2474"/>
      <c r="F175" s="2474"/>
      <c r="G175" s="2474"/>
      <c r="H175" s="2474"/>
      <c r="I175" s="2474"/>
      <c r="J175" s="1251"/>
      <c r="K175" s="1251"/>
      <c r="L175" s="1251"/>
      <c r="M175" s="1251"/>
      <c r="N175" s="1251"/>
      <c r="O175" s="1251"/>
      <c r="P175" s="1251"/>
      <c r="Q175" s="1217" t="str">
        <f>'V.Fiscal Affordability'!AB33</f>
        <v/>
      </c>
      <c r="R175" s="1217"/>
      <c r="S175" s="2463"/>
      <c r="T175" s="2463"/>
      <c r="U175" s="2463"/>
      <c r="V175" s="2464"/>
      <c r="W175" s="1208"/>
    </row>
    <row r="176" spans="1:23" ht="26.25" customHeight="1" x14ac:dyDescent="0.3">
      <c r="A176" s="1173"/>
      <c r="B176" s="1235" t="str">
        <f>'V.Fiscal Affordability'!B34</f>
        <v>(i)</v>
      </c>
      <c r="C176" s="1236" t="str">
        <f>'V.Fiscal Affordability'!C34</f>
        <v>FAA1</v>
      </c>
      <c r="D176" s="2420" t="str">
        <f>'V.Fiscal Affordability'!E34</f>
        <v xml:space="preserve">Is there a clear rationale for government support that is consistent with applicable laws and government support policies?
</v>
      </c>
      <c r="E176" s="2420"/>
      <c r="F176" s="2420"/>
      <c r="G176" s="2420"/>
      <c r="H176" s="2420"/>
      <c r="I176" s="2420"/>
      <c r="J176" s="2420"/>
      <c r="K176" s="2420"/>
      <c r="L176" s="2420"/>
      <c r="M176" s="2420"/>
      <c r="N176" s="2420"/>
      <c r="O176" s="2420"/>
      <c r="P176" s="2420"/>
      <c r="Q176" s="2421" t="str">
        <f>'V.Fiscal Affordability'!AB34</f>
        <v>Yes</v>
      </c>
      <c r="R176" s="2421"/>
      <c r="S176" s="2422">
        <f>'V.Fiscal Affordability'!AD34</f>
        <v>0</v>
      </c>
      <c r="T176" s="2422"/>
      <c r="U176" s="2422"/>
      <c r="V176" s="2423"/>
      <c r="W176" s="1176"/>
    </row>
    <row r="177" spans="1:23" ht="32.25" customHeight="1" x14ac:dyDescent="0.3">
      <c r="A177" s="1173"/>
      <c r="B177" s="1235" t="str">
        <f>'V.Fiscal Affordability'!B35</f>
        <v>(ii)</v>
      </c>
      <c r="C177" s="1236" t="str">
        <f>'V.Fiscal Affordability'!C35</f>
        <v>FAA2</v>
      </c>
      <c r="D177" s="2420" t="str">
        <f>'V.Fiscal Affordability'!E35</f>
        <v>Is there an assessment of various options to minimize the requirement of government support? Such as options for additional sources of revenue, tariff adjustments, optimizing project scope, and/or adjusting the contract period?</v>
      </c>
      <c r="E177" s="2420"/>
      <c r="F177" s="2420"/>
      <c r="G177" s="2420"/>
      <c r="H177" s="2420"/>
      <c r="I177" s="2420"/>
      <c r="J177" s="2420"/>
      <c r="K177" s="2420"/>
      <c r="L177" s="2420"/>
      <c r="M177" s="2420"/>
      <c r="N177" s="2420"/>
      <c r="O177" s="2420"/>
      <c r="P177" s="2420"/>
      <c r="Q177" s="2421" t="str">
        <f>'V.Fiscal Affordability'!AB35</f>
        <v>Yes</v>
      </c>
      <c r="R177" s="2421"/>
      <c r="S177" s="2422">
        <f>'V.Fiscal Affordability'!AD35</f>
        <v>0</v>
      </c>
      <c r="T177" s="2422"/>
      <c r="U177" s="2422"/>
      <c r="V177" s="2423"/>
      <c r="W177" s="1176"/>
    </row>
    <row r="178" spans="1:23" x14ac:dyDescent="0.3">
      <c r="A178" s="1173"/>
      <c r="B178" s="1235" t="str">
        <f>'V.Fiscal Affordability'!B36</f>
        <v>(iii)</v>
      </c>
      <c r="C178" s="1236" t="str">
        <f>'V.Fiscal Affordability'!C36</f>
        <v>FAA3</v>
      </c>
      <c r="D178" s="2420" t="str">
        <f>'V.Fiscal Affordability'!E36</f>
        <v xml:space="preserve">Has the level of government support been benchmarked to comparable projects, at the national level or regional level? </v>
      </c>
      <c r="E178" s="2420"/>
      <c r="F178" s="2420"/>
      <c r="G178" s="2420"/>
      <c r="H178" s="2420"/>
      <c r="I178" s="2420"/>
      <c r="J178" s="2420"/>
      <c r="K178" s="2420"/>
      <c r="L178" s="2420"/>
      <c r="M178" s="2420"/>
      <c r="N178" s="2420"/>
      <c r="O178" s="2420"/>
      <c r="P178" s="2420"/>
      <c r="Q178" s="2421" t="str">
        <f>'V.Fiscal Affordability'!AB36</f>
        <v>Yes</v>
      </c>
      <c r="R178" s="2421"/>
      <c r="S178" s="2422">
        <f>'V.Fiscal Affordability'!AD36</f>
        <v>0</v>
      </c>
      <c r="T178" s="2422"/>
      <c r="U178" s="2422"/>
      <c r="V178" s="2423"/>
      <c r="W178" s="1176"/>
    </row>
    <row r="179" spans="1:23" x14ac:dyDescent="0.3">
      <c r="A179" s="1173"/>
      <c r="B179" s="1235" t="str">
        <f>'V.Fiscal Affordability'!B37</f>
        <v>(iv)</v>
      </c>
      <c r="C179" s="1236" t="str">
        <f>'V.Fiscal Affordability'!C37</f>
        <v>FAA4</v>
      </c>
      <c r="D179" s="2420" t="str">
        <f>'V.Fiscal Affordability'!E37</f>
        <v>Will there be competitive pressure in market determination of government support?</v>
      </c>
      <c r="E179" s="2420"/>
      <c r="F179" s="2420"/>
      <c r="G179" s="2420"/>
      <c r="H179" s="2420"/>
      <c r="I179" s="2420"/>
      <c r="J179" s="2420"/>
      <c r="K179" s="2420"/>
      <c r="L179" s="2420"/>
      <c r="M179" s="2420"/>
      <c r="N179" s="2420"/>
      <c r="O179" s="2420"/>
      <c r="P179" s="2420"/>
      <c r="Q179" s="2421" t="str">
        <f>'V.Fiscal Affordability'!AB37</f>
        <v>Yes</v>
      </c>
      <c r="R179" s="2421"/>
      <c r="S179" s="2422">
        <f>'V.Fiscal Affordability'!AD37</f>
        <v>0</v>
      </c>
      <c r="T179" s="2422"/>
      <c r="U179" s="2422"/>
      <c r="V179" s="2423"/>
      <c r="W179" s="1176"/>
    </row>
    <row r="180" spans="1:23" s="1209" customFormat="1" x14ac:dyDescent="0.3">
      <c r="A180" s="1207"/>
      <c r="B180" s="1250">
        <f>'V.Fiscal Affordability'!B39</f>
        <v>2</v>
      </c>
      <c r="C180" s="1251"/>
      <c r="D180" s="1251" t="str">
        <f>'V.Fiscal Affordability'!E39</f>
        <v>Quantification of Fiscal Support</v>
      </c>
      <c r="E180" s="1251"/>
      <c r="F180" s="1251"/>
      <c r="G180" s="1251"/>
      <c r="H180" s="1251"/>
      <c r="I180" s="1251"/>
      <c r="J180" s="1251"/>
      <c r="K180" s="1251"/>
      <c r="L180" s="1251"/>
      <c r="M180" s="1251"/>
      <c r="N180" s="1251"/>
      <c r="O180" s="1251"/>
      <c r="P180" s="1251"/>
      <c r="Q180" s="2469" t="str">
        <f>'V.Fiscal Affordability'!AB39</f>
        <v/>
      </c>
      <c r="R180" s="2469"/>
      <c r="S180" s="1233"/>
      <c r="T180" s="1233"/>
      <c r="U180" s="1233"/>
      <c r="V180" s="1234"/>
      <c r="W180" s="1208"/>
    </row>
    <row r="181" spans="1:23" x14ac:dyDescent="0.3">
      <c r="A181" s="1173"/>
      <c r="B181" s="1235" t="str">
        <f>'V.Fiscal Affordability'!B40</f>
        <v>(i)</v>
      </c>
      <c r="C181" s="1236" t="str">
        <f>'V.Fiscal Affordability'!C40</f>
        <v>FAB1</v>
      </c>
      <c r="D181" s="2420" t="str">
        <f>'V.Fiscal Affordability'!E40</f>
        <v>In case of direct fiscal commitments, are the expected annual payments within budgetary ceilings?</v>
      </c>
      <c r="E181" s="2420"/>
      <c r="F181" s="2420"/>
      <c r="G181" s="2420"/>
      <c r="H181" s="2420"/>
      <c r="I181" s="2420"/>
      <c r="J181" s="2420"/>
      <c r="K181" s="2420"/>
      <c r="L181" s="2420"/>
      <c r="M181" s="2420"/>
      <c r="N181" s="2420"/>
      <c r="O181" s="2420"/>
      <c r="P181" s="2420"/>
      <c r="Q181" s="2421" t="str">
        <f>'V.Fiscal Affordability'!AB40</f>
        <v>Yes</v>
      </c>
      <c r="R181" s="2421"/>
      <c r="S181" s="2422">
        <f>'V.Fiscal Affordability'!AD40</f>
        <v>0</v>
      </c>
      <c r="T181" s="2422"/>
      <c r="U181" s="2422"/>
      <c r="V181" s="2423"/>
      <c r="W181" s="1176"/>
    </row>
    <row r="182" spans="1:23" ht="38.25" customHeight="1" x14ac:dyDescent="0.3">
      <c r="A182" s="1173"/>
      <c r="B182" s="1235" t="str">
        <f>'V.Fiscal Affordability'!B41</f>
        <v>(ii)</v>
      </c>
      <c r="C182" s="1236" t="str">
        <f>'V.Fiscal Affordability'!C41</f>
        <v>FAB2</v>
      </c>
      <c r="D182" s="2420" t="str">
        <f>'V.Fiscal Affordability'!E41</f>
        <v>If a non-termination event defined by the PPP contract (or a guarantee arrangement) occurs, are the maximum expected annual payouts triggered by this event within acceptable budgetary limits for the government?</v>
      </c>
      <c r="E182" s="2420"/>
      <c r="F182" s="2420"/>
      <c r="G182" s="2420"/>
      <c r="H182" s="2420"/>
      <c r="I182" s="2420"/>
      <c r="J182" s="2420"/>
      <c r="K182" s="2420"/>
      <c r="L182" s="2420"/>
      <c r="M182" s="2420"/>
      <c r="N182" s="2420"/>
      <c r="O182" s="2420"/>
      <c r="P182" s="2420"/>
      <c r="Q182" s="2421" t="str">
        <f>'V.Fiscal Affordability'!AB41</f>
        <v>Yes</v>
      </c>
      <c r="R182" s="2421"/>
      <c r="S182" s="2422">
        <f>'V.Fiscal Affordability'!AD41</f>
        <v>0</v>
      </c>
      <c r="T182" s="2422"/>
      <c r="U182" s="2422"/>
      <c r="V182" s="2423"/>
      <c r="W182" s="1176"/>
    </row>
    <row r="183" spans="1:23" x14ac:dyDescent="0.3">
      <c r="A183" s="1173"/>
      <c r="B183" s="1235" t="str">
        <f>'V.Fiscal Affordability'!B42</f>
        <v>(iii)</v>
      </c>
      <c r="C183" s="1236" t="str">
        <f>'V.Fiscal Affordability'!C42</f>
        <v>FAB3</v>
      </c>
      <c r="D183" s="2439" t="str">
        <f>'V.Fiscal Affordability'!E42</f>
        <v>Will the impacts of direct and contingent liabilities of the project be within an acceptable level for the government?</v>
      </c>
      <c r="E183" s="2439"/>
      <c r="F183" s="2439"/>
      <c r="G183" s="2439"/>
      <c r="H183" s="2439"/>
      <c r="I183" s="2439"/>
      <c r="J183" s="2439"/>
      <c r="K183" s="2439"/>
      <c r="L183" s="2439"/>
      <c r="M183" s="2439"/>
      <c r="N183" s="2439"/>
      <c r="O183" s="2439"/>
      <c r="P183" s="2439"/>
      <c r="Q183" s="2421" t="str">
        <f>'V.Fiscal Affordability'!AB42</f>
        <v>Yes</v>
      </c>
      <c r="R183" s="2421"/>
      <c r="S183" s="2422">
        <f>'V.Fiscal Affordability'!AD42</f>
        <v>0</v>
      </c>
      <c r="T183" s="2422"/>
      <c r="U183" s="2422"/>
      <c r="V183" s="2423"/>
      <c r="W183" s="1176"/>
    </row>
    <row r="184" spans="1:23" x14ac:dyDescent="0.3">
      <c r="A184" s="1173"/>
      <c r="B184" s="1235" t="str">
        <f>'V.Fiscal Affordability'!B43</f>
        <v>(iv)</v>
      </c>
      <c r="C184" s="1236" t="str">
        <f>'V.Fiscal Affordability'!C43</f>
        <v>FAB4</v>
      </c>
      <c r="D184" s="2420" t="str">
        <f>'V.Fiscal Affordability'!E43</f>
        <v xml:space="preserve">Is there a clear strategy to mitigate fiscal risks emerging from the PPP contract ? </v>
      </c>
      <c r="E184" s="2420"/>
      <c r="F184" s="2420"/>
      <c r="G184" s="2420"/>
      <c r="H184" s="2420"/>
      <c r="I184" s="2420"/>
      <c r="J184" s="2420"/>
      <c r="K184" s="2420"/>
      <c r="L184" s="2420"/>
      <c r="M184" s="2420"/>
      <c r="N184" s="2420"/>
      <c r="O184" s="2420"/>
      <c r="P184" s="2420"/>
      <c r="Q184" s="2421" t="str">
        <f>'V.Fiscal Affordability'!AB43</f>
        <v>Yes</v>
      </c>
      <c r="R184" s="2421"/>
      <c r="S184" s="2422">
        <f>'V.Fiscal Affordability'!AD43</f>
        <v>0</v>
      </c>
      <c r="T184" s="2422"/>
      <c r="U184" s="2422"/>
      <c r="V184" s="2423"/>
      <c r="W184" s="1176"/>
    </row>
    <row r="185" spans="1:23" ht="14.55" customHeight="1" x14ac:dyDescent="0.3">
      <c r="A185" s="1173"/>
      <c r="B185" s="2475" t="s">
        <v>563</v>
      </c>
      <c r="C185" s="2476"/>
      <c r="D185" s="2476"/>
      <c r="E185" s="2476"/>
      <c r="F185" s="2476"/>
      <c r="G185" s="2476"/>
      <c r="H185" s="2476"/>
      <c r="I185" s="2476"/>
      <c r="J185" s="2476"/>
      <c r="K185" s="1252"/>
      <c r="L185" s="1252"/>
      <c r="M185" s="1252"/>
      <c r="N185" s="1252"/>
      <c r="O185" s="1252"/>
      <c r="P185" s="1252"/>
      <c r="Q185" s="1218"/>
      <c r="R185" s="1218"/>
      <c r="S185" s="1218"/>
      <c r="T185" s="1218"/>
      <c r="U185" s="1218"/>
      <c r="V185" s="1219"/>
      <c r="W185" s="1176"/>
    </row>
    <row r="186" spans="1:23" x14ac:dyDescent="0.3">
      <c r="A186" s="1173"/>
      <c r="B186" s="1241" t="s">
        <v>31</v>
      </c>
      <c r="C186" s="1242"/>
      <c r="D186" s="1243" t="s">
        <v>91</v>
      </c>
      <c r="E186" s="1242"/>
      <c r="F186" s="1242"/>
      <c r="G186" s="1242"/>
      <c r="H186" s="1242"/>
      <c r="I186" s="1242"/>
      <c r="J186" s="1242"/>
      <c r="K186" s="1242"/>
      <c r="L186" s="1242"/>
      <c r="M186" s="1242"/>
      <c r="N186" s="1242"/>
      <c r="O186" s="1242"/>
      <c r="P186" s="1244"/>
      <c r="Q186" s="1146" t="s">
        <v>32</v>
      </c>
      <c r="R186" s="2238" t="s">
        <v>115</v>
      </c>
      <c r="S186" s="2238"/>
      <c r="T186" s="2238"/>
      <c r="U186" s="2238"/>
      <c r="V186" s="2458"/>
      <c r="W186" s="1176"/>
    </row>
    <row r="187" spans="1:23" x14ac:dyDescent="0.3">
      <c r="A187" s="1173"/>
      <c r="B187" s="1253">
        <f>'VI.Institutional Capability'!B29</f>
        <v>1</v>
      </c>
      <c r="C187" s="1254"/>
      <c r="D187" s="1254" t="str">
        <f>'VI.Institutional Capability'!D29</f>
        <v>Institutional Capacity</v>
      </c>
      <c r="E187" s="1254"/>
      <c r="F187" s="1254"/>
      <c r="G187" s="1254"/>
      <c r="H187" s="1254"/>
      <c r="I187" s="1254"/>
      <c r="J187" s="1254"/>
      <c r="K187" s="1254"/>
      <c r="L187" s="1254"/>
      <c r="M187" s="1254"/>
      <c r="N187" s="1254"/>
      <c r="O187" s="1254"/>
      <c r="P187" s="1254"/>
      <c r="Q187" s="1220" t="str">
        <f>'VI.Institutional Capability'!AA29</f>
        <v/>
      </c>
      <c r="R187" s="1221"/>
      <c r="S187" s="1221"/>
      <c r="T187" s="1221"/>
      <c r="U187" s="1221"/>
      <c r="V187" s="1222"/>
      <c r="W187" s="1176"/>
    </row>
    <row r="188" spans="1:23" x14ac:dyDescent="0.3">
      <c r="A188" s="1173"/>
      <c r="B188" s="1235" t="str">
        <f>'VI.Institutional Capability'!B30</f>
        <v>(i)</v>
      </c>
      <c r="C188" s="1236" t="str">
        <f>'VI.Institutional Capability'!C30</f>
        <v>IAA1</v>
      </c>
      <c r="D188" s="2420" t="str">
        <f>'VI.Institutional Capability'!D30</f>
        <v>Is there a PPP focal point within the contracting agency?</v>
      </c>
      <c r="E188" s="2420"/>
      <c r="F188" s="2420"/>
      <c r="G188" s="2420"/>
      <c r="H188" s="2420"/>
      <c r="I188" s="2420"/>
      <c r="J188" s="2420"/>
      <c r="K188" s="2420"/>
      <c r="L188" s="2420"/>
      <c r="M188" s="2420"/>
      <c r="N188" s="2420"/>
      <c r="O188" s="2420"/>
      <c r="P188" s="2420"/>
      <c r="Q188" s="2421" t="str">
        <f>'VI.Institutional Capability'!AA30</f>
        <v>Yes</v>
      </c>
      <c r="R188" s="2421"/>
      <c r="S188" s="2422">
        <f>'VI.Institutional Capability'!AB30</f>
        <v>0</v>
      </c>
      <c r="T188" s="2422">
        <f>'VI.Institutional Capability'!AD30</f>
        <v>0</v>
      </c>
      <c r="U188" s="2422"/>
      <c r="V188" s="2423"/>
      <c r="W188" s="1176"/>
    </row>
    <row r="189" spans="1:23" x14ac:dyDescent="0.3">
      <c r="A189" s="1173"/>
      <c r="B189" s="1235" t="str">
        <f>'VI.Institutional Capability'!B31</f>
        <v>(ii)</v>
      </c>
      <c r="C189" s="1236" t="str">
        <f>'VI.Institutional Capability'!C31</f>
        <v>IAA2</v>
      </c>
      <c r="D189" s="2420" t="str">
        <f>'VI.Institutional Capability'!D31</f>
        <v>Does the contracting agency have the capacity to manage the PPP project preparation and procurement processes?</v>
      </c>
      <c r="E189" s="2420"/>
      <c r="F189" s="2420"/>
      <c r="G189" s="2420"/>
      <c r="H189" s="2420"/>
      <c r="I189" s="2420"/>
      <c r="J189" s="2420"/>
      <c r="K189" s="2420"/>
      <c r="L189" s="2420"/>
      <c r="M189" s="2420"/>
      <c r="N189" s="2420"/>
      <c r="O189" s="2420"/>
      <c r="P189" s="2420"/>
      <c r="Q189" s="2421" t="str">
        <f>'VI.Institutional Capability'!AA31</f>
        <v>Yes</v>
      </c>
      <c r="R189" s="2421"/>
      <c r="S189" s="2422">
        <f>'VI.Institutional Capability'!AB31</f>
        <v>0</v>
      </c>
      <c r="T189" s="2422">
        <f>'VI.Institutional Capability'!AD31</f>
        <v>0</v>
      </c>
      <c r="U189" s="2422"/>
      <c r="V189" s="2423"/>
      <c r="W189" s="1176"/>
    </row>
    <row r="190" spans="1:23" x14ac:dyDescent="0.3">
      <c r="A190" s="1173"/>
      <c r="B190" s="1235" t="str">
        <f>'VI.Institutional Capability'!B32</f>
        <v>(iii)</v>
      </c>
      <c r="C190" s="1236" t="str">
        <f>'VI.Institutional Capability'!C32</f>
        <v>IAA3</v>
      </c>
      <c r="D190" s="2420" t="str">
        <f>'VI.Institutional Capability'!D32</f>
        <v>Does the contracting agency or its key personnel have previous experience with PPPs?</v>
      </c>
      <c r="E190" s="2420"/>
      <c r="F190" s="2420"/>
      <c r="G190" s="2420"/>
      <c r="H190" s="2420"/>
      <c r="I190" s="2420"/>
      <c r="J190" s="2420"/>
      <c r="K190" s="2420"/>
      <c r="L190" s="2420"/>
      <c r="M190" s="2420"/>
      <c r="N190" s="2420"/>
      <c r="O190" s="2420"/>
      <c r="P190" s="2420"/>
      <c r="Q190" s="2421" t="str">
        <f>'VI.Institutional Capability'!AA32</f>
        <v>Yes</v>
      </c>
      <c r="R190" s="2421"/>
      <c r="S190" s="2422">
        <f>'VI.Institutional Capability'!AB32</f>
        <v>0</v>
      </c>
      <c r="T190" s="2422">
        <f>'VI.Institutional Capability'!AD32</f>
        <v>0</v>
      </c>
      <c r="U190" s="2422"/>
      <c r="V190" s="2423"/>
      <c r="W190" s="1176"/>
    </row>
    <row r="191" spans="1:23" x14ac:dyDescent="0.3">
      <c r="A191" s="1173"/>
      <c r="B191" s="1235" t="str">
        <f>'VI.Institutional Capability'!B33</f>
        <v>(iv)</v>
      </c>
      <c r="C191" s="1236" t="str">
        <f>'VI.Institutional Capability'!C33</f>
        <v>IAA4</v>
      </c>
      <c r="D191" s="2420" t="str">
        <f>'VI.Institutional Capability'!D33</f>
        <v>Will the contracting agency have access to transaction advisors and/or consultants for project preparation and procurement?</v>
      </c>
      <c r="E191" s="2420"/>
      <c r="F191" s="2420"/>
      <c r="G191" s="2420"/>
      <c r="H191" s="2420"/>
      <c r="I191" s="2420"/>
      <c r="J191" s="2420"/>
      <c r="K191" s="2420"/>
      <c r="L191" s="2420"/>
      <c r="M191" s="2420"/>
      <c r="N191" s="2420"/>
      <c r="O191" s="2420"/>
      <c r="P191" s="2420"/>
      <c r="Q191" s="2421" t="str">
        <f>'VI.Institutional Capability'!AA33</f>
        <v>Yes</v>
      </c>
      <c r="R191" s="2421"/>
      <c r="S191" s="2422">
        <f>'VI.Institutional Capability'!AB33</f>
        <v>0</v>
      </c>
      <c r="T191" s="2422">
        <f>'VI.Institutional Capability'!AD33</f>
        <v>0</v>
      </c>
      <c r="U191" s="2422"/>
      <c r="V191" s="2423"/>
      <c r="W191" s="1176"/>
    </row>
    <row r="192" spans="1:23" ht="14.55" customHeight="1" x14ac:dyDescent="0.3">
      <c r="A192" s="1173"/>
      <c r="B192" s="1253">
        <f>'VI.Institutional Capability'!B35</f>
        <v>2</v>
      </c>
      <c r="C192" s="1254"/>
      <c r="D192" s="2479" t="str">
        <f>'VI.Institutional Capability'!D35</f>
        <v>Preparedness of the Contracting Agency for the Project</v>
      </c>
      <c r="E192" s="2479"/>
      <c r="F192" s="2479"/>
      <c r="G192" s="2479"/>
      <c r="H192" s="2479"/>
      <c r="I192" s="2479"/>
      <c r="J192" s="2479"/>
      <c r="K192" s="2479"/>
      <c r="L192" s="2479"/>
      <c r="M192" s="2479"/>
      <c r="N192" s="2479"/>
      <c r="O192" s="2479"/>
      <c r="P192" s="2479"/>
      <c r="Q192" s="2468" t="str">
        <f>'VI.Institutional Capability'!AA35</f>
        <v/>
      </c>
      <c r="R192" s="2468"/>
      <c r="S192" s="1221"/>
      <c r="T192" s="1221"/>
      <c r="U192" s="1221"/>
      <c r="V192" s="1222"/>
      <c r="W192" s="1176"/>
    </row>
    <row r="193" spans="1:23" x14ac:dyDescent="0.3">
      <c r="A193" s="1173"/>
      <c r="B193" s="1235" t="str">
        <f>'VI.Institutional Capability'!B36</f>
        <v>(i)</v>
      </c>
      <c r="C193" s="1236" t="str">
        <f>'VI.Institutional Capability'!C36</f>
        <v>IAB1</v>
      </c>
      <c r="D193" s="2420" t="str">
        <f>'VI.Institutional Capability'!D36</f>
        <v>Does the proposal have a project plan  for the next stages of the project with identified deadlines and responsibilities allocated?</v>
      </c>
      <c r="E193" s="2420"/>
      <c r="F193" s="2420"/>
      <c r="G193" s="2420"/>
      <c r="H193" s="2420"/>
      <c r="I193" s="2420"/>
      <c r="J193" s="2420"/>
      <c r="K193" s="2420"/>
      <c r="L193" s="2420"/>
      <c r="M193" s="2420"/>
      <c r="N193" s="2420"/>
      <c r="O193" s="2420"/>
      <c r="P193" s="2420"/>
      <c r="Q193" s="2421" t="str">
        <f>'VI.Institutional Capability'!AA36</f>
        <v>Yes</v>
      </c>
      <c r="R193" s="2421"/>
      <c r="S193" s="2422">
        <f>'VI.Institutional Capability'!AB36</f>
        <v>0</v>
      </c>
      <c r="T193" s="2422">
        <f>'VI.Institutional Capability'!AD35</f>
        <v>0</v>
      </c>
      <c r="U193" s="2422"/>
      <c r="V193" s="2423"/>
      <c r="W193" s="1176"/>
    </row>
    <row r="194" spans="1:23" ht="28.05" customHeight="1" x14ac:dyDescent="0.3">
      <c r="A194" s="1173"/>
      <c r="B194" s="1235" t="str">
        <f>'VI.Institutional Capability'!B37</f>
        <v>(ii)</v>
      </c>
      <c r="C194" s="1236" t="str">
        <f>'VI.Institutional Capability'!C37</f>
        <v>IAB2</v>
      </c>
      <c r="D194" s="2420" t="str">
        <f>'VI.Institutional Capability'!D37</f>
        <v>Has the contracting agency budgeted funds, or does it have access to funds, to complete project preparation? This includes the costs of preparing required studies, securing land, resettlement costs, and environmental and social impact cost mitigation.</v>
      </c>
      <c r="E194" s="2420"/>
      <c r="F194" s="2420"/>
      <c r="G194" s="2420"/>
      <c r="H194" s="2420"/>
      <c r="I194" s="2420"/>
      <c r="J194" s="2420"/>
      <c r="K194" s="2420"/>
      <c r="L194" s="2420"/>
      <c r="M194" s="2420"/>
      <c r="N194" s="2420"/>
      <c r="O194" s="2420"/>
      <c r="P194" s="2420"/>
      <c r="Q194" s="2421" t="str">
        <f>'VI.Institutional Capability'!AA37</f>
        <v>Yes</v>
      </c>
      <c r="R194" s="2421"/>
      <c r="S194" s="2422">
        <f>'VI.Institutional Capability'!AB37</f>
        <v>0</v>
      </c>
      <c r="T194" s="2422">
        <f>'VI.Institutional Capability'!AD36</f>
        <v>0</v>
      </c>
      <c r="U194" s="2422"/>
      <c r="V194" s="2423"/>
      <c r="W194" s="1176"/>
    </row>
    <row r="195" spans="1:23" x14ac:dyDescent="0.3">
      <c r="A195" s="1173"/>
      <c r="B195" s="1235" t="str">
        <f>'VI.Institutional Capability'!B38</f>
        <v>(iii)</v>
      </c>
      <c r="C195" s="1236" t="str">
        <f>'VI.Institutional Capability'!C38</f>
        <v>IAB3</v>
      </c>
      <c r="D195" s="2420" t="str">
        <f>'VI.Institutional Capability'!D38</f>
        <v>Does the project plan incorporate a strategic communications plan to engage with internal and external stakeholders of the project during the next stages of the project?</v>
      </c>
      <c r="E195" s="2420"/>
      <c r="F195" s="2420"/>
      <c r="G195" s="2420"/>
      <c r="H195" s="2420"/>
      <c r="I195" s="2420"/>
      <c r="J195" s="2420"/>
      <c r="K195" s="2420"/>
      <c r="L195" s="2420"/>
      <c r="M195" s="2420"/>
      <c r="N195" s="2420"/>
      <c r="O195" s="2420"/>
      <c r="P195" s="2420"/>
      <c r="Q195" s="2421" t="str">
        <f>'VI.Institutional Capability'!AA38</f>
        <v>Yes</v>
      </c>
      <c r="R195" s="2421"/>
      <c r="S195" s="2422">
        <f>'VI.Institutional Capability'!AB38</f>
        <v>0</v>
      </c>
      <c r="T195" s="2422">
        <f>'VI.Institutional Capability'!AD37</f>
        <v>0</v>
      </c>
      <c r="U195" s="2422"/>
      <c r="V195" s="2423"/>
      <c r="W195" s="1176"/>
    </row>
    <row r="196" spans="1:23" ht="25.5" customHeight="1" x14ac:dyDescent="0.3">
      <c r="A196" s="1173"/>
      <c r="B196" s="1235" t="str">
        <f>'VI.Institutional Capability'!B39</f>
        <v>(iv)</v>
      </c>
      <c r="C196" s="1236" t="str">
        <f>'VI.Institutional Capability'!C39</f>
        <v>IAB4</v>
      </c>
      <c r="D196" s="2420" t="str">
        <f>'VI.Institutional Capability'!D39</f>
        <v>Is the contracting agency aware of the requirements for licenses, approvals and permits in case the project covers multiple jurisdictions?</v>
      </c>
      <c r="E196" s="2420"/>
      <c r="F196" s="2420"/>
      <c r="G196" s="2420"/>
      <c r="H196" s="2420"/>
      <c r="I196" s="2420"/>
      <c r="J196" s="2420"/>
      <c r="K196" s="2420"/>
      <c r="L196" s="2420"/>
      <c r="M196" s="2420"/>
      <c r="N196" s="2420"/>
      <c r="O196" s="2420"/>
      <c r="P196" s="2420"/>
      <c r="Q196" s="2421" t="str">
        <f>'VI.Institutional Capability'!AA39</f>
        <v>Yes</v>
      </c>
      <c r="R196" s="2421"/>
      <c r="S196" s="2422">
        <f>'VI.Institutional Capability'!AB39</f>
        <v>0</v>
      </c>
      <c r="T196" s="2422">
        <f>'VI.Institutional Capability'!AD38</f>
        <v>0</v>
      </c>
      <c r="U196" s="2422"/>
      <c r="V196" s="2423"/>
      <c r="W196" s="1176"/>
    </row>
    <row r="197" spans="1:23" x14ac:dyDescent="0.3">
      <c r="A197" s="1173"/>
      <c r="B197" s="1235" t="str">
        <f>'VI.Institutional Capability'!B40</f>
        <v>(v)</v>
      </c>
      <c r="C197" s="1236" t="str">
        <f>'VI.Institutional Capability'!C40</f>
        <v>IAB5</v>
      </c>
      <c r="D197" s="2420" t="str">
        <f>'VI.Institutional Capability'!D40</f>
        <v>Are there any constraints that could delay the project from getting to the market?</v>
      </c>
      <c r="E197" s="2420"/>
      <c r="F197" s="2420"/>
      <c r="G197" s="2420"/>
      <c r="H197" s="2420"/>
      <c r="I197" s="2420"/>
      <c r="J197" s="2420"/>
      <c r="K197" s="2420"/>
      <c r="L197" s="2420"/>
      <c r="M197" s="2420"/>
      <c r="N197" s="2420"/>
      <c r="O197" s="2420"/>
      <c r="P197" s="2420"/>
      <c r="Q197" s="2421" t="str">
        <f>'VI.Institutional Capability'!AA40</f>
        <v>No</v>
      </c>
      <c r="R197" s="2421"/>
      <c r="S197" s="2422">
        <f>'VI.Institutional Capability'!AB40</f>
        <v>0</v>
      </c>
      <c r="T197" s="2422">
        <f>'VI.Institutional Capability'!AD39</f>
        <v>0</v>
      </c>
      <c r="U197" s="2422"/>
      <c r="V197" s="2423"/>
      <c r="W197" s="1176"/>
    </row>
    <row r="198" spans="1:23" ht="14.55" customHeight="1" x14ac:dyDescent="0.3">
      <c r="A198" s="1173"/>
      <c r="B198" s="1253">
        <f>'VI.Institutional Capability'!B42</f>
        <v>3</v>
      </c>
      <c r="C198" s="1254"/>
      <c r="D198" s="2479" t="str">
        <f>'VI.Institutional Capability'!D42</f>
        <v>Project Execution Capability of the Contracting Agency</v>
      </c>
      <c r="E198" s="2479"/>
      <c r="F198" s="2479"/>
      <c r="G198" s="2479"/>
      <c r="H198" s="2479"/>
      <c r="I198" s="2479"/>
      <c r="J198" s="2479"/>
      <c r="K198" s="2479"/>
      <c r="L198" s="2479"/>
      <c r="M198" s="2479"/>
      <c r="N198" s="2479"/>
      <c r="O198" s="2479"/>
      <c r="P198" s="2479"/>
      <c r="Q198" s="2468" t="str">
        <f>'VI.Institutional Capability'!AA42</f>
        <v/>
      </c>
      <c r="R198" s="2468"/>
      <c r="S198" s="1220"/>
      <c r="T198" s="1220"/>
      <c r="U198" s="1221"/>
      <c r="V198" s="1222"/>
      <c r="W198" s="1176"/>
    </row>
    <row r="199" spans="1:23" ht="33" customHeight="1" x14ac:dyDescent="0.3">
      <c r="A199" s="1173"/>
      <c r="B199" s="1235" t="str">
        <f>'VI.Institutional Capability'!B43</f>
        <v>(i)</v>
      </c>
      <c r="C199" s="1236" t="str">
        <f>'VI.Institutional Capability'!C43</f>
        <v>IAC1</v>
      </c>
      <c r="D199" s="2420" t="str">
        <f>'VI.Institutional Capability'!D43</f>
        <v>Does the contracting agency have adequate project management capability as evidenced from successful experience of implementing publicly funded projects in the sector?</v>
      </c>
      <c r="E199" s="2420"/>
      <c r="F199" s="2420"/>
      <c r="G199" s="2420"/>
      <c r="H199" s="2420"/>
      <c r="I199" s="2420"/>
      <c r="J199" s="2420"/>
      <c r="K199" s="2420"/>
      <c r="L199" s="2420"/>
      <c r="M199" s="2420"/>
      <c r="N199" s="2420"/>
      <c r="O199" s="2420"/>
      <c r="P199" s="2420"/>
      <c r="Q199" s="2421" t="str">
        <f>'VI.Institutional Capability'!AA43</f>
        <v>Yes</v>
      </c>
      <c r="R199" s="2421"/>
      <c r="S199" s="2422">
        <f>'VI.Institutional Capability'!AB43</f>
        <v>0</v>
      </c>
      <c r="T199" s="2422">
        <f>'VI.Institutional Capability'!AD41</f>
        <v>0</v>
      </c>
      <c r="U199" s="2422"/>
      <c r="V199" s="2423"/>
      <c r="W199" s="1176"/>
    </row>
    <row r="200" spans="1:23" x14ac:dyDescent="0.3">
      <c r="A200" s="1173"/>
      <c r="B200" s="1235" t="str">
        <f>'VI.Institutional Capability'!B44</f>
        <v>(ii)</v>
      </c>
      <c r="C200" s="1236" t="str">
        <f>'VI.Institutional Capability'!C44</f>
        <v>IAC2</v>
      </c>
      <c r="D200" s="2420" t="str">
        <f>'VI.Institutional Capability'!D44</f>
        <v>Has the contracting agency been effective in managing key contractual risks and monitoring the performance of PPP projects during their operations phase?</v>
      </c>
      <c r="E200" s="2420"/>
      <c r="F200" s="2420"/>
      <c r="G200" s="2420"/>
      <c r="H200" s="2420"/>
      <c r="I200" s="2420"/>
      <c r="J200" s="2420"/>
      <c r="K200" s="2420"/>
      <c r="L200" s="2420"/>
      <c r="M200" s="2420"/>
      <c r="N200" s="2420"/>
      <c r="O200" s="2420"/>
      <c r="P200" s="2420"/>
      <c r="Q200" s="2421" t="str">
        <f>'VI.Institutional Capability'!AA44</f>
        <v>Yes</v>
      </c>
      <c r="R200" s="2421"/>
      <c r="S200" s="2422">
        <f>'VI.Institutional Capability'!AB44</f>
        <v>0</v>
      </c>
      <c r="T200" s="2422">
        <f>'VI.Institutional Capability'!AD42</f>
        <v>0</v>
      </c>
      <c r="U200" s="2422"/>
      <c r="V200" s="2423"/>
      <c r="W200" s="1176"/>
    </row>
    <row r="201" spans="1:23" x14ac:dyDescent="0.3">
      <c r="A201" s="1173"/>
      <c r="B201" s="1235" t="str">
        <f>'VI.Institutional Capability'!B45</f>
        <v>(iii)</v>
      </c>
      <c r="C201" s="1236" t="str">
        <f>'VI.Institutional Capability'!C45</f>
        <v>IAC3</v>
      </c>
      <c r="D201" s="2420" t="str">
        <f>'VI.Institutional Capability'!D45</f>
        <v xml:space="preserve">Will the PPP project have independent engineers or consultants to oversee the project's construction? </v>
      </c>
      <c r="E201" s="2420"/>
      <c r="F201" s="2420"/>
      <c r="G201" s="2420"/>
      <c r="H201" s="2420"/>
      <c r="I201" s="2420"/>
      <c r="J201" s="2420"/>
      <c r="K201" s="2420"/>
      <c r="L201" s="2420"/>
      <c r="M201" s="2420"/>
      <c r="N201" s="2420"/>
      <c r="O201" s="2420"/>
      <c r="P201" s="2420"/>
      <c r="Q201" s="2421" t="str">
        <f>'VI.Institutional Capability'!AA45</f>
        <v>Yes</v>
      </c>
      <c r="R201" s="2421"/>
      <c r="S201" s="2422">
        <f>'VI.Institutional Capability'!AB45</f>
        <v>0</v>
      </c>
      <c r="T201" s="2422">
        <f>'VI.Institutional Capability'!AD43</f>
        <v>0</v>
      </c>
      <c r="U201" s="2422"/>
      <c r="V201" s="2423"/>
      <c r="W201" s="1176"/>
    </row>
    <row r="202" spans="1:23" ht="26.25" customHeight="1" x14ac:dyDescent="0.3">
      <c r="A202" s="1173"/>
      <c r="B202" s="1235" t="str">
        <f>'VI.Institutional Capability'!B46</f>
        <v>(iv)</v>
      </c>
      <c r="C202" s="1236" t="str">
        <f>'VI.Institutional Capability'!C46</f>
        <v>IAC4</v>
      </c>
      <c r="D202" s="2420" t="str">
        <f>'VI.Institutional Capability'!D46</f>
        <v>Will the contracting agency hire independent consultants or advisors to periodically assess project performance during the operations phase?</v>
      </c>
      <c r="E202" s="2420"/>
      <c r="F202" s="2420"/>
      <c r="G202" s="2420"/>
      <c r="H202" s="2420"/>
      <c r="I202" s="2420"/>
      <c r="J202" s="2420"/>
      <c r="K202" s="2420"/>
      <c r="L202" s="2420"/>
      <c r="M202" s="2420"/>
      <c r="N202" s="2420"/>
      <c r="O202" s="2420"/>
      <c r="P202" s="2420"/>
      <c r="Q202" s="2421" t="str">
        <f>'VI.Institutional Capability'!AA46</f>
        <v>Yes</v>
      </c>
      <c r="R202" s="2421"/>
      <c r="S202" s="2422">
        <f>'VI.Institutional Capability'!AB46</f>
        <v>0</v>
      </c>
      <c r="T202" s="2422">
        <f>'VI.Institutional Capability'!AD44</f>
        <v>0</v>
      </c>
      <c r="U202" s="2422"/>
      <c r="V202" s="2423"/>
      <c r="W202" s="1176"/>
    </row>
    <row r="203" spans="1:23" ht="37.5" customHeight="1" thickBot="1" x14ac:dyDescent="0.35">
      <c r="A203" s="1173"/>
      <c r="B203" s="1255" t="str">
        <f>'VI.Institutional Capability'!B47</f>
        <v>(v)</v>
      </c>
      <c r="C203" s="1256" t="str">
        <f>'VI.Institutional Capability'!C47</f>
        <v>IAC5</v>
      </c>
      <c r="D203" s="2480" t="str">
        <f>'VI.Institutional Capability'!D47</f>
        <v>Will the contracting agency insist on project-level disclosure to the public from time to time on the project's performance and meeting contractual obligations?</v>
      </c>
      <c r="E203" s="2480"/>
      <c r="F203" s="2480"/>
      <c r="G203" s="2480"/>
      <c r="H203" s="2480"/>
      <c r="I203" s="2480"/>
      <c r="J203" s="2480"/>
      <c r="K203" s="2480"/>
      <c r="L203" s="2480"/>
      <c r="M203" s="2480"/>
      <c r="N203" s="2480"/>
      <c r="O203" s="2480"/>
      <c r="P203" s="2480"/>
      <c r="Q203" s="2467" t="str">
        <f>'VI.Institutional Capability'!AA47</f>
        <v>Yes</v>
      </c>
      <c r="R203" s="2467"/>
      <c r="S203" s="2461">
        <f>'VI.Institutional Capability'!AB47</f>
        <v>0</v>
      </c>
      <c r="T203" s="2461">
        <f>'VI.Institutional Capability'!AD45</f>
        <v>0</v>
      </c>
      <c r="U203" s="2461"/>
      <c r="V203" s="2462"/>
      <c r="W203" s="1176"/>
    </row>
    <row r="204" spans="1:23" ht="14.55" customHeight="1" x14ac:dyDescent="0.3">
      <c r="A204" s="1173"/>
      <c r="B204" s="1173"/>
      <c r="C204" s="1173"/>
      <c r="D204" s="1173"/>
      <c r="E204" s="1173"/>
      <c r="F204" s="1173"/>
      <c r="G204" s="1173"/>
      <c r="H204" s="1173"/>
      <c r="I204" s="1173"/>
      <c r="J204" s="1173"/>
      <c r="K204" s="1173"/>
      <c r="L204" s="1173"/>
      <c r="M204" s="1173"/>
      <c r="N204" s="1173"/>
      <c r="O204" s="1173"/>
      <c r="P204" s="1173"/>
      <c r="Q204" s="1173"/>
      <c r="R204" s="1173"/>
      <c r="S204" s="1173"/>
      <c r="T204" s="1173"/>
      <c r="U204" s="1173"/>
      <c r="V204" s="1173"/>
      <c r="W204" s="1176"/>
    </row>
  </sheetData>
  <sheetProtection password="DA20" sheet="1" objects="1" scenarios="1"/>
  <mergeCells count="482">
    <mergeCell ref="D56:P56"/>
    <mergeCell ref="Q56:R56"/>
    <mergeCell ref="S56:V56"/>
    <mergeCell ref="D57:P57"/>
    <mergeCell ref="Q57:R57"/>
    <mergeCell ref="S57:V57"/>
    <mergeCell ref="D58:P58"/>
    <mergeCell ref="Q58:R58"/>
    <mergeCell ref="S58:V58"/>
    <mergeCell ref="D54:P54"/>
    <mergeCell ref="D55:P55"/>
    <mergeCell ref="Q55:R55"/>
    <mergeCell ref="S55:V55"/>
    <mergeCell ref="D202:P202"/>
    <mergeCell ref="D203:P203"/>
    <mergeCell ref="D172:P172"/>
    <mergeCell ref="D176:P176"/>
    <mergeCell ref="D159:P159"/>
    <mergeCell ref="D160:P160"/>
    <mergeCell ref="D161:P161"/>
    <mergeCell ref="D162:P162"/>
    <mergeCell ref="D164:P164"/>
    <mergeCell ref="D166:P166"/>
    <mergeCell ref="D165:P165"/>
    <mergeCell ref="D177:P177"/>
    <mergeCell ref="D178:P178"/>
    <mergeCell ref="D179:P179"/>
    <mergeCell ref="D181:P181"/>
    <mergeCell ref="D182:P182"/>
    <mergeCell ref="D183:P183"/>
    <mergeCell ref="D200:P200"/>
    <mergeCell ref="D184:P184"/>
    <mergeCell ref="D168:P168"/>
    <mergeCell ref="D169:P169"/>
    <mergeCell ref="D170:P170"/>
    <mergeCell ref="D171:P171"/>
    <mergeCell ref="D201:P201"/>
    <mergeCell ref="D194:P194"/>
    <mergeCell ref="D195:P195"/>
    <mergeCell ref="D196:P196"/>
    <mergeCell ref="D197:P197"/>
    <mergeCell ref="D199:P199"/>
    <mergeCell ref="D189:P189"/>
    <mergeCell ref="D190:P190"/>
    <mergeCell ref="D191:P191"/>
    <mergeCell ref="D193:P193"/>
    <mergeCell ref="D192:P192"/>
    <mergeCell ref="D198:P198"/>
    <mergeCell ref="D149:P149"/>
    <mergeCell ref="D150:P150"/>
    <mergeCell ref="D134:P134"/>
    <mergeCell ref="D135:P135"/>
    <mergeCell ref="D136:P136"/>
    <mergeCell ref="D137:P137"/>
    <mergeCell ref="D138:P138"/>
    <mergeCell ref="D140:P140"/>
    <mergeCell ref="D188:P188"/>
    <mergeCell ref="D141:P141"/>
    <mergeCell ref="D142:P142"/>
    <mergeCell ref="D143:P143"/>
    <mergeCell ref="D145:P145"/>
    <mergeCell ref="D146:P146"/>
    <mergeCell ref="D147:P147"/>
    <mergeCell ref="D151:P151"/>
    <mergeCell ref="D152:P152"/>
    <mergeCell ref="D153:P153"/>
    <mergeCell ref="D158:P158"/>
    <mergeCell ref="B173:J173"/>
    <mergeCell ref="D175:I175"/>
    <mergeCell ref="B185:J185"/>
    <mergeCell ref="B154:D154"/>
    <mergeCell ref="D157:H157"/>
    <mergeCell ref="D126:P126"/>
    <mergeCell ref="D127:P127"/>
    <mergeCell ref="D129:P129"/>
    <mergeCell ref="D130:P130"/>
    <mergeCell ref="D131:P131"/>
    <mergeCell ref="D133:P133"/>
    <mergeCell ref="D119:P119"/>
    <mergeCell ref="D120:P120"/>
    <mergeCell ref="D122:P122"/>
    <mergeCell ref="D123:P123"/>
    <mergeCell ref="D124:P124"/>
    <mergeCell ref="D125:P125"/>
    <mergeCell ref="D113:P113"/>
    <mergeCell ref="D114:P114"/>
    <mergeCell ref="D115:P115"/>
    <mergeCell ref="D117:P117"/>
    <mergeCell ref="D118:P118"/>
    <mergeCell ref="D112:P112"/>
    <mergeCell ref="D71:P71"/>
    <mergeCell ref="D76:P76"/>
    <mergeCell ref="D77:P77"/>
    <mergeCell ref="D78:P78"/>
    <mergeCell ref="D86:P86"/>
    <mergeCell ref="D98:P98"/>
    <mergeCell ref="D100:P100"/>
    <mergeCell ref="D101:P101"/>
    <mergeCell ref="D102:P102"/>
    <mergeCell ref="D85:P85"/>
    <mergeCell ref="D104:P104"/>
    <mergeCell ref="D109:P109"/>
    <mergeCell ref="D110:P110"/>
    <mergeCell ref="D111:P111"/>
    <mergeCell ref="D103:P103"/>
    <mergeCell ref="D91:P91"/>
    <mergeCell ref="D92:P92"/>
    <mergeCell ref="D93:P93"/>
    <mergeCell ref="D94:P94"/>
    <mergeCell ref="D95:P95"/>
    <mergeCell ref="D96:P96"/>
    <mergeCell ref="D97:P97"/>
    <mergeCell ref="Q191:R191"/>
    <mergeCell ref="S182:V182"/>
    <mergeCell ref="S183:V183"/>
    <mergeCell ref="Q149:R149"/>
    <mergeCell ref="Q150:R150"/>
    <mergeCell ref="Q151:R151"/>
    <mergeCell ref="Q152:R152"/>
    <mergeCell ref="Q153:R153"/>
    <mergeCell ref="Q154:R154"/>
    <mergeCell ref="Q172:R172"/>
    <mergeCell ref="S176:V176"/>
    <mergeCell ref="S177:V177"/>
    <mergeCell ref="S178:V178"/>
    <mergeCell ref="S179:V179"/>
    <mergeCell ref="S181:V181"/>
    <mergeCell ref="R186:V186"/>
    <mergeCell ref="S190:V190"/>
    <mergeCell ref="S191:V191"/>
    <mergeCell ref="Q188:R188"/>
    <mergeCell ref="Q189:R189"/>
    <mergeCell ref="Q190:R190"/>
    <mergeCell ref="S184:V184"/>
    <mergeCell ref="Q176:R176"/>
    <mergeCell ref="Q177:R177"/>
    <mergeCell ref="Q202:R202"/>
    <mergeCell ref="Q203:R203"/>
    <mergeCell ref="Q193:R193"/>
    <mergeCell ref="Q194:R194"/>
    <mergeCell ref="Q195:R195"/>
    <mergeCell ref="Q196:R196"/>
    <mergeCell ref="Q197:R197"/>
    <mergeCell ref="Q198:R198"/>
    <mergeCell ref="Q192:R192"/>
    <mergeCell ref="Q199:R199"/>
    <mergeCell ref="Q200:R200"/>
    <mergeCell ref="Q201:R201"/>
    <mergeCell ref="Q178:R178"/>
    <mergeCell ref="Q179:R179"/>
    <mergeCell ref="Q180:R180"/>
    <mergeCell ref="Q181:R181"/>
    <mergeCell ref="Q182:R182"/>
    <mergeCell ref="Q183:R183"/>
    <mergeCell ref="P14:S14"/>
    <mergeCell ref="T14:V14"/>
    <mergeCell ref="T15:V15"/>
    <mergeCell ref="B36:H36"/>
    <mergeCell ref="V35:V36"/>
    <mergeCell ref="T20:V20"/>
    <mergeCell ref="T21:V21"/>
    <mergeCell ref="T22:V22"/>
    <mergeCell ref="T23:V23"/>
    <mergeCell ref="T24:V24"/>
    <mergeCell ref="T25:V25"/>
    <mergeCell ref="T26:V26"/>
    <mergeCell ref="T27:V27"/>
    <mergeCell ref="T28:V28"/>
    <mergeCell ref="T29:V29"/>
    <mergeCell ref="T30:V30"/>
    <mergeCell ref="T31:V31"/>
    <mergeCell ref="T32:V32"/>
    <mergeCell ref="B17:S17"/>
    <mergeCell ref="B18:S18"/>
    <mergeCell ref="B19:S19"/>
    <mergeCell ref="B21:S21"/>
    <mergeCell ref="B22:S22"/>
    <mergeCell ref="B32:S32"/>
    <mergeCell ref="Q2:R2"/>
    <mergeCell ref="Q3:R3"/>
    <mergeCell ref="B7:D7"/>
    <mergeCell ref="S201:V201"/>
    <mergeCell ref="S200:V200"/>
    <mergeCell ref="S203:V203"/>
    <mergeCell ref="S202:V202"/>
    <mergeCell ref="S155:V155"/>
    <mergeCell ref="S158:V158"/>
    <mergeCell ref="S159:V159"/>
    <mergeCell ref="S160:V160"/>
    <mergeCell ref="S161:V161"/>
    <mergeCell ref="S162:V162"/>
    <mergeCell ref="S193:V193"/>
    <mergeCell ref="S195:V195"/>
    <mergeCell ref="S194:V194"/>
    <mergeCell ref="S196:V196"/>
    <mergeCell ref="S197:V197"/>
    <mergeCell ref="S199:V199"/>
    <mergeCell ref="Q184:R184"/>
    <mergeCell ref="S188:V188"/>
    <mergeCell ref="S189:V189"/>
    <mergeCell ref="S169:V169"/>
    <mergeCell ref="S175:V175"/>
    <mergeCell ref="Q155:R155"/>
    <mergeCell ref="Q174:R174"/>
    <mergeCell ref="S174:V174"/>
    <mergeCell ref="S164:V164"/>
    <mergeCell ref="S165:V165"/>
    <mergeCell ref="S166:V166"/>
    <mergeCell ref="S168:V168"/>
    <mergeCell ref="Q165:R165"/>
    <mergeCell ref="Q166:R166"/>
    <mergeCell ref="Q167:R167"/>
    <mergeCell ref="Q168:R168"/>
    <mergeCell ref="Q169:R169"/>
    <mergeCell ref="Q170:R170"/>
    <mergeCell ref="Q158:R158"/>
    <mergeCell ref="Q159:R159"/>
    <mergeCell ref="Q160:R160"/>
    <mergeCell ref="Q161:R161"/>
    <mergeCell ref="Q162:R162"/>
    <mergeCell ref="Q163:R163"/>
    <mergeCell ref="Q164:R164"/>
    <mergeCell ref="S170:V170"/>
    <mergeCell ref="S171:V171"/>
    <mergeCell ref="S172:V172"/>
    <mergeCell ref="Q171:R171"/>
    <mergeCell ref="Q145:R145"/>
    <mergeCell ref="Q146:R146"/>
    <mergeCell ref="Q147:R147"/>
    <mergeCell ref="Q140:R140"/>
    <mergeCell ref="Q141:R141"/>
    <mergeCell ref="Q142:R142"/>
    <mergeCell ref="Q143:R143"/>
    <mergeCell ref="D52:P52"/>
    <mergeCell ref="D53:P53"/>
    <mergeCell ref="D62:P62"/>
    <mergeCell ref="D63:P63"/>
    <mergeCell ref="D64:P64"/>
    <mergeCell ref="D65:P65"/>
    <mergeCell ref="D66:P66"/>
    <mergeCell ref="D67:P67"/>
    <mergeCell ref="D79:P79"/>
    <mergeCell ref="D80:P80"/>
    <mergeCell ref="D81:P81"/>
    <mergeCell ref="D84:P84"/>
    <mergeCell ref="D89:P89"/>
    <mergeCell ref="D90:P90"/>
    <mergeCell ref="D82:P82"/>
    <mergeCell ref="D69:P69"/>
    <mergeCell ref="D70:P70"/>
    <mergeCell ref="Q134:R134"/>
    <mergeCell ref="Q135:R135"/>
    <mergeCell ref="Q136:R136"/>
    <mergeCell ref="Q137:R137"/>
    <mergeCell ref="Q138:R138"/>
    <mergeCell ref="Q129:R129"/>
    <mergeCell ref="Q130:R130"/>
    <mergeCell ref="Q131:R131"/>
    <mergeCell ref="Q133:R133"/>
    <mergeCell ref="S151:V151"/>
    <mergeCell ref="S152:V152"/>
    <mergeCell ref="S153:V153"/>
    <mergeCell ref="S107:V107"/>
    <mergeCell ref="Q107:R107"/>
    <mergeCell ref="Q109:R109"/>
    <mergeCell ref="Q110:R110"/>
    <mergeCell ref="Q111:R111"/>
    <mergeCell ref="Q112:R112"/>
    <mergeCell ref="Q113:R113"/>
    <mergeCell ref="S143:V143"/>
    <mergeCell ref="S145:V145"/>
    <mergeCell ref="S146:V146"/>
    <mergeCell ref="S147:V147"/>
    <mergeCell ref="S149:V149"/>
    <mergeCell ref="S150:V150"/>
    <mergeCell ref="S136:V136"/>
    <mergeCell ref="S137:V137"/>
    <mergeCell ref="S138:V138"/>
    <mergeCell ref="Q124:R124"/>
    <mergeCell ref="Q125:R125"/>
    <mergeCell ref="Q126:R126"/>
    <mergeCell ref="Q127:R127"/>
    <mergeCell ref="Q119:R119"/>
    <mergeCell ref="S140:V140"/>
    <mergeCell ref="S141:V141"/>
    <mergeCell ref="S142:V142"/>
    <mergeCell ref="S129:V129"/>
    <mergeCell ref="S130:V130"/>
    <mergeCell ref="S131:V131"/>
    <mergeCell ref="S133:V133"/>
    <mergeCell ref="S134:V134"/>
    <mergeCell ref="S135:V135"/>
    <mergeCell ref="S127:V127"/>
    <mergeCell ref="S115:V115"/>
    <mergeCell ref="S117:V117"/>
    <mergeCell ref="S118:V118"/>
    <mergeCell ref="S119:V119"/>
    <mergeCell ref="S120:V120"/>
    <mergeCell ref="S122:V122"/>
    <mergeCell ref="Q114:R114"/>
    <mergeCell ref="Q115:R115"/>
    <mergeCell ref="Q117:R117"/>
    <mergeCell ref="Q118:R118"/>
    <mergeCell ref="Q120:R120"/>
    <mergeCell ref="Q122:R122"/>
    <mergeCell ref="Q123:R123"/>
    <mergeCell ref="S114:V114"/>
    <mergeCell ref="Q97:R97"/>
    <mergeCell ref="S97:V97"/>
    <mergeCell ref="S112:V112"/>
    <mergeCell ref="S113:V113"/>
    <mergeCell ref="Q104:R104"/>
    <mergeCell ref="S123:V123"/>
    <mergeCell ref="S124:V124"/>
    <mergeCell ref="S125:V125"/>
    <mergeCell ref="S126:V126"/>
    <mergeCell ref="Q98:R98"/>
    <mergeCell ref="S109:V109"/>
    <mergeCell ref="S110:V110"/>
    <mergeCell ref="S111:V111"/>
    <mergeCell ref="S104:V104"/>
    <mergeCell ref="S101:V101"/>
    <mergeCell ref="S102:V102"/>
    <mergeCell ref="S103:V103"/>
    <mergeCell ref="Q100:R100"/>
    <mergeCell ref="Q101:R101"/>
    <mergeCell ref="Q102:R102"/>
    <mergeCell ref="Q103:R103"/>
    <mergeCell ref="S98:V98"/>
    <mergeCell ref="S100:V100"/>
    <mergeCell ref="Q90:R90"/>
    <mergeCell ref="Q91:R91"/>
    <mergeCell ref="Q76:R76"/>
    <mergeCell ref="Q77:R77"/>
    <mergeCell ref="Q78:R78"/>
    <mergeCell ref="Q79:R79"/>
    <mergeCell ref="Q80:R80"/>
    <mergeCell ref="Q81:R81"/>
    <mergeCell ref="Q96:R96"/>
    <mergeCell ref="S67:V67"/>
    <mergeCell ref="Q67:R67"/>
    <mergeCell ref="S79:V79"/>
    <mergeCell ref="S80:V80"/>
    <mergeCell ref="S81:V81"/>
    <mergeCell ref="S84:V84"/>
    <mergeCell ref="S89:V89"/>
    <mergeCell ref="Q86:R86"/>
    <mergeCell ref="S96:V96"/>
    <mergeCell ref="S90:V90"/>
    <mergeCell ref="Q92:R92"/>
    <mergeCell ref="Q93:R93"/>
    <mergeCell ref="Q94:R94"/>
    <mergeCell ref="Q95:R95"/>
    <mergeCell ref="S91:V91"/>
    <mergeCell ref="S92:V92"/>
    <mergeCell ref="S93:V93"/>
    <mergeCell ref="S94:V94"/>
    <mergeCell ref="S95:V95"/>
    <mergeCell ref="Q85:R85"/>
    <mergeCell ref="S85:V85"/>
    <mergeCell ref="S86:V86"/>
    <mergeCell ref="Q84:R84"/>
    <mergeCell ref="Q89:R89"/>
    <mergeCell ref="S69:V69"/>
    <mergeCell ref="S70:V70"/>
    <mergeCell ref="S71:V71"/>
    <mergeCell ref="Q69:R69"/>
    <mergeCell ref="Q70:R70"/>
    <mergeCell ref="Q71:R71"/>
    <mergeCell ref="Q82:R82"/>
    <mergeCell ref="S82:V82"/>
    <mergeCell ref="S76:V76"/>
    <mergeCell ref="S77:V77"/>
    <mergeCell ref="S78:V78"/>
    <mergeCell ref="Q60:R60"/>
    <mergeCell ref="S60:V60"/>
    <mergeCell ref="S52:V52"/>
    <mergeCell ref="S53:V53"/>
    <mergeCell ref="Q50:R50"/>
    <mergeCell ref="Q49:R49"/>
    <mergeCell ref="Q52:R52"/>
    <mergeCell ref="Q53:R53"/>
    <mergeCell ref="S49:V49"/>
    <mergeCell ref="S48:V48"/>
    <mergeCell ref="E5:H5"/>
    <mergeCell ref="B5:D5"/>
    <mergeCell ref="B6:D6"/>
    <mergeCell ref="E6:H6"/>
    <mergeCell ref="P35:U36"/>
    <mergeCell ref="S50:V50"/>
    <mergeCell ref="D49:P49"/>
    <mergeCell ref="D50:P50"/>
    <mergeCell ref="L5:N5"/>
    <mergeCell ref="L6:N6"/>
    <mergeCell ref="L7:N7"/>
    <mergeCell ref="L8:N8"/>
    <mergeCell ref="J33:N33"/>
    <mergeCell ref="B8:D8"/>
    <mergeCell ref="E8:H8"/>
    <mergeCell ref="B34:G34"/>
    <mergeCell ref="B35:G35"/>
    <mergeCell ref="E7:H7"/>
    <mergeCell ref="B37:G37"/>
    <mergeCell ref="P13:S13"/>
    <mergeCell ref="T16:V16"/>
    <mergeCell ref="T17:V17"/>
    <mergeCell ref="T18:V18"/>
    <mergeCell ref="B9:D9"/>
    <mergeCell ref="E9:H9"/>
    <mergeCell ref="B4:H4"/>
    <mergeCell ref="B33:H33"/>
    <mergeCell ref="P4:V4"/>
    <mergeCell ref="P5:S5"/>
    <mergeCell ref="P6:S6"/>
    <mergeCell ref="T5:V5"/>
    <mergeCell ref="T6:V6"/>
    <mergeCell ref="P7:V7"/>
    <mergeCell ref="T13:V13"/>
    <mergeCell ref="P15:S15"/>
    <mergeCell ref="T19:V19"/>
    <mergeCell ref="P33:V33"/>
    <mergeCell ref="P8:S8"/>
    <mergeCell ref="T8:V8"/>
    <mergeCell ref="P9:S9"/>
    <mergeCell ref="T9:V9"/>
    <mergeCell ref="P10:S10"/>
    <mergeCell ref="T10:V10"/>
    <mergeCell ref="P11:S11"/>
    <mergeCell ref="T11:V11"/>
    <mergeCell ref="P12:S12"/>
    <mergeCell ref="T12:V12"/>
    <mergeCell ref="D163:P163"/>
    <mergeCell ref="Q42:R42"/>
    <mergeCell ref="S42:V42"/>
    <mergeCell ref="Q44:R44"/>
    <mergeCell ref="Q45:R45"/>
    <mergeCell ref="Q48:R48"/>
    <mergeCell ref="D43:P43"/>
    <mergeCell ref="S62:V62"/>
    <mergeCell ref="S63:V63"/>
    <mergeCell ref="Q62:R62"/>
    <mergeCell ref="Q63:R63"/>
    <mergeCell ref="Q64:R64"/>
    <mergeCell ref="Q65:R65"/>
    <mergeCell ref="Q66:R66"/>
    <mergeCell ref="S64:V64"/>
    <mergeCell ref="S65:V65"/>
    <mergeCell ref="S66:V66"/>
    <mergeCell ref="D51:P51"/>
    <mergeCell ref="D44:P44"/>
    <mergeCell ref="D45:P45"/>
    <mergeCell ref="D48:P48"/>
    <mergeCell ref="D47:P47"/>
    <mergeCell ref="S44:V44"/>
    <mergeCell ref="S45:V45"/>
    <mergeCell ref="D46:P46"/>
    <mergeCell ref="Q46:R46"/>
    <mergeCell ref="S46:V46"/>
    <mergeCell ref="B23:S23"/>
    <mergeCell ref="B24:S24"/>
    <mergeCell ref="B25:S25"/>
    <mergeCell ref="B26:S26"/>
    <mergeCell ref="B27:S27"/>
    <mergeCell ref="B28:S28"/>
    <mergeCell ref="B29:S29"/>
    <mergeCell ref="B30:S30"/>
    <mergeCell ref="B31:S31"/>
    <mergeCell ref="P34:U34"/>
    <mergeCell ref="P37:V37"/>
    <mergeCell ref="T38:V38"/>
    <mergeCell ref="T39:V39"/>
    <mergeCell ref="P38:S38"/>
    <mergeCell ref="P39:S39"/>
    <mergeCell ref="D72:P72"/>
    <mergeCell ref="D73:P73"/>
    <mergeCell ref="D74:P74"/>
    <mergeCell ref="Q72:R72"/>
    <mergeCell ref="Q73:R73"/>
    <mergeCell ref="Q74:R74"/>
    <mergeCell ref="S72:V72"/>
    <mergeCell ref="S73:V73"/>
    <mergeCell ref="S74:V74"/>
  </mergeCells>
  <conditionalFormatting sqref="L6">
    <cfRule type="colorScale" priority="270">
      <colorScale>
        <cfvo type="num" val="0"/>
        <cfvo type="percentile" val="2.5"/>
        <cfvo type="num" val="5"/>
        <color rgb="FFF8696B"/>
        <color rgb="FFFFEB84"/>
        <color rgb="FF63BE7B"/>
      </colorScale>
    </cfRule>
  </conditionalFormatting>
  <conditionalFormatting sqref="Q44:R44 Q100:R100 Q105:R105 Q55:R58">
    <cfRule type="expression" dxfId="275" priority="267">
      <formula>D44=0</formula>
    </cfRule>
  </conditionalFormatting>
  <conditionalFormatting sqref="Q45:R46">
    <cfRule type="expression" dxfId="274" priority="266">
      <formula>D45=0</formula>
    </cfRule>
  </conditionalFormatting>
  <conditionalFormatting sqref="Q49:R49">
    <cfRule type="expression" dxfId="273" priority="263">
      <formula>D49=0</formula>
    </cfRule>
  </conditionalFormatting>
  <conditionalFormatting sqref="Q48:R48">
    <cfRule type="expression" dxfId="272" priority="264">
      <formula>D48=0</formula>
    </cfRule>
  </conditionalFormatting>
  <conditionalFormatting sqref="Q50:R50">
    <cfRule type="expression" dxfId="271" priority="262">
      <formula>D50=0</formula>
    </cfRule>
  </conditionalFormatting>
  <conditionalFormatting sqref="Q52:R52">
    <cfRule type="expression" dxfId="270" priority="260">
      <formula>D52=0</formula>
    </cfRule>
  </conditionalFormatting>
  <conditionalFormatting sqref="Q53:R53">
    <cfRule type="expression" dxfId="269" priority="259">
      <formula>D53=0</formula>
    </cfRule>
  </conditionalFormatting>
  <conditionalFormatting sqref="S44:V44 S55:V58">
    <cfRule type="expression" dxfId="268" priority="258">
      <formula>D44=0</formula>
    </cfRule>
  </conditionalFormatting>
  <conditionalFormatting sqref="S45:V46">
    <cfRule type="expression" dxfId="267" priority="251">
      <formula>D45=0</formula>
    </cfRule>
  </conditionalFormatting>
  <conditionalFormatting sqref="S48:V50">
    <cfRule type="expression" dxfId="266" priority="250">
      <formula>D48=0</formula>
    </cfRule>
  </conditionalFormatting>
  <conditionalFormatting sqref="S52:V53">
    <cfRule type="expression" dxfId="265" priority="247">
      <formula>D52=0</formula>
    </cfRule>
  </conditionalFormatting>
  <conditionalFormatting sqref="Q62:R67">
    <cfRule type="expression" dxfId="264" priority="245">
      <formula>D62=0</formula>
    </cfRule>
  </conditionalFormatting>
  <conditionalFormatting sqref="Q69:R74">
    <cfRule type="expression" dxfId="263" priority="244">
      <formula>D69=0</formula>
    </cfRule>
  </conditionalFormatting>
  <conditionalFormatting sqref="Q84:R87 Q76:R82">
    <cfRule type="expression" dxfId="262" priority="243">
      <formula>D76=0</formula>
    </cfRule>
  </conditionalFormatting>
  <conditionalFormatting sqref="Q89:R98">
    <cfRule type="expression" dxfId="261" priority="242">
      <formula>D89=0</formula>
    </cfRule>
  </conditionalFormatting>
  <conditionalFormatting sqref="Q109:R115">
    <cfRule type="expression" dxfId="260" priority="240">
      <formula>D109=0</formula>
    </cfRule>
  </conditionalFormatting>
  <conditionalFormatting sqref="Q117:R120">
    <cfRule type="expression" dxfId="259" priority="239">
      <formula>D117=0</formula>
    </cfRule>
  </conditionalFormatting>
  <conditionalFormatting sqref="Q122:R127">
    <cfRule type="expression" dxfId="258" priority="238">
      <formula>D122=0</formula>
    </cfRule>
  </conditionalFormatting>
  <conditionalFormatting sqref="Q129:R131">
    <cfRule type="expression" dxfId="257" priority="237">
      <formula>D129=0</formula>
    </cfRule>
  </conditionalFormatting>
  <conditionalFormatting sqref="Q133:R138">
    <cfRule type="expression" dxfId="256" priority="236">
      <formula>D133=0</formula>
    </cfRule>
  </conditionalFormatting>
  <conditionalFormatting sqref="Q140:R143 Q145:R147 Q149:R153">
    <cfRule type="expression" dxfId="255" priority="235">
      <formula>D140=0</formula>
    </cfRule>
  </conditionalFormatting>
  <conditionalFormatting sqref="Q158:R172">
    <cfRule type="expression" dxfId="254" priority="234">
      <formula>D158=0</formula>
    </cfRule>
  </conditionalFormatting>
  <conditionalFormatting sqref="Q176:R184">
    <cfRule type="expression" dxfId="253" priority="233">
      <formula>D176=0</formula>
    </cfRule>
  </conditionalFormatting>
  <conditionalFormatting sqref="Q188:R203">
    <cfRule type="expression" dxfId="252" priority="232">
      <formula>D188=0</formula>
    </cfRule>
  </conditionalFormatting>
  <conditionalFormatting sqref="S62:V62">
    <cfRule type="expression" dxfId="251" priority="231">
      <formula>D62=0</formula>
    </cfRule>
  </conditionalFormatting>
  <conditionalFormatting sqref="S63:V63">
    <cfRule type="expression" dxfId="250" priority="230">
      <formula>D63=0</formula>
    </cfRule>
  </conditionalFormatting>
  <conditionalFormatting sqref="S64:V64">
    <cfRule type="expression" dxfId="249" priority="229">
      <formula>D64=0</formula>
    </cfRule>
  </conditionalFormatting>
  <conditionalFormatting sqref="S65:V65">
    <cfRule type="expression" dxfId="248" priority="228">
      <formula>D65=0</formula>
    </cfRule>
  </conditionalFormatting>
  <conditionalFormatting sqref="S66:V66">
    <cfRule type="expression" dxfId="247" priority="227">
      <formula>D66=0</formula>
    </cfRule>
  </conditionalFormatting>
  <conditionalFormatting sqref="S67:V67">
    <cfRule type="expression" dxfId="246" priority="226">
      <formula>D67=0</formula>
    </cfRule>
  </conditionalFormatting>
  <conditionalFormatting sqref="S69:V74">
    <cfRule type="expression" dxfId="245" priority="225">
      <formula>D69=0</formula>
    </cfRule>
  </conditionalFormatting>
  <conditionalFormatting sqref="S76:V82">
    <cfRule type="expression" dxfId="244" priority="222">
      <formula>D76=0</formula>
    </cfRule>
  </conditionalFormatting>
  <conditionalFormatting sqref="S84:V86">
    <cfRule type="expression" dxfId="243" priority="216">
      <formula>D84=0</formula>
    </cfRule>
  </conditionalFormatting>
  <conditionalFormatting sqref="S89:V96">
    <cfRule type="expression" dxfId="242" priority="214">
      <formula>D89=0</formula>
    </cfRule>
  </conditionalFormatting>
  <conditionalFormatting sqref="S97:V97">
    <cfRule type="expression" dxfId="241" priority="207">
      <formula>D97=0</formula>
    </cfRule>
  </conditionalFormatting>
  <conditionalFormatting sqref="S98:V98">
    <cfRule type="expression" dxfId="240" priority="206">
      <formula>D98=0</formula>
    </cfRule>
  </conditionalFormatting>
  <conditionalFormatting sqref="S100:V100">
    <cfRule type="expression" dxfId="239" priority="205">
      <formula>D100=0</formula>
    </cfRule>
  </conditionalFormatting>
  <conditionalFormatting sqref="S105:V105">
    <cfRule type="expression" dxfId="238" priority="199">
      <formula>D105=0</formula>
    </cfRule>
  </conditionalFormatting>
  <conditionalFormatting sqref="S109:V115">
    <cfRule type="expression" dxfId="237" priority="198">
      <formula>D109=0</formula>
    </cfRule>
  </conditionalFormatting>
  <conditionalFormatting sqref="S117:V120">
    <cfRule type="expression" dxfId="236" priority="197">
      <formula>D117=0</formula>
    </cfRule>
  </conditionalFormatting>
  <conditionalFormatting sqref="S122:V127">
    <cfRule type="expression" dxfId="235" priority="196">
      <formula>D122=0</formula>
    </cfRule>
  </conditionalFormatting>
  <conditionalFormatting sqref="S158:V162">
    <cfRule type="expression" dxfId="234" priority="188">
      <formula>D158=0</formula>
    </cfRule>
  </conditionalFormatting>
  <conditionalFormatting sqref="S164:V166">
    <cfRule type="expression" dxfId="233" priority="187">
      <formula>D164=0</formula>
    </cfRule>
  </conditionalFormatting>
  <conditionalFormatting sqref="S168:V172">
    <cfRule type="expression" dxfId="232" priority="186">
      <formula>D168=0</formula>
    </cfRule>
  </conditionalFormatting>
  <conditionalFormatting sqref="S176:V179">
    <cfRule type="expression" dxfId="231" priority="185">
      <formula>D176=0</formula>
    </cfRule>
  </conditionalFormatting>
  <conditionalFormatting sqref="S188:V191">
    <cfRule type="expression" dxfId="230" priority="183">
      <formula>D188=0</formula>
    </cfRule>
  </conditionalFormatting>
  <conditionalFormatting sqref="S129:V131">
    <cfRule type="expression" dxfId="229" priority="180">
      <formula>D129=0</formula>
    </cfRule>
  </conditionalFormatting>
  <conditionalFormatting sqref="S133:V138">
    <cfRule type="expression" dxfId="228" priority="179">
      <formula>D133=0</formula>
    </cfRule>
  </conditionalFormatting>
  <conditionalFormatting sqref="S140:V143">
    <cfRule type="expression" dxfId="227" priority="178">
      <formula>D140=0</formula>
    </cfRule>
  </conditionalFormatting>
  <conditionalFormatting sqref="S145:V147">
    <cfRule type="expression" dxfId="226" priority="177">
      <formula>D145=0</formula>
    </cfRule>
  </conditionalFormatting>
  <conditionalFormatting sqref="S149:V153">
    <cfRule type="expression" dxfId="225" priority="176">
      <formula>D149=0</formula>
    </cfRule>
  </conditionalFormatting>
  <conditionalFormatting sqref="S181:V184">
    <cfRule type="expression" dxfId="224" priority="175">
      <formula>D181=0</formula>
    </cfRule>
  </conditionalFormatting>
  <conditionalFormatting sqref="S193:V197">
    <cfRule type="expression" dxfId="223" priority="174">
      <formula>D193=0</formula>
    </cfRule>
  </conditionalFormatting>
  <conditionalFormatting sqref="S199:V199">
    <cfRule type="expression" dxfId="222" priority="173">
      <formula>D199=0</formula>
    </cfRule>
  </conditionalFormatting>
  <conditionalFormatting sqref="S200:V203">
    <cfRule type="expression" dxfId="221" priority="171">
      <formula>D200=0</formula>
    </cfRule>
  </conditionalFormatting>
  <conditionalFormatting sqref="D43:P43 D55:P58">
    <cfRule type="cellIs" dxfId="220" priority="170" operator="equal">
      <formula>0</formula>
    </cfRule>
  </conditionalFormatting>
  <conditionalFormatting sqref="D44:P44">
    <cfRule type="cellIs" dxfId="219" priority="169" operator="equal">
      <formula>0</formula>
    </cfRule>
  </conditionalFormatting>
  <conditionalFormatting sqref="D45:P46">
    <cfRule type="cellIs" dxfId="218" priority="168" operator="equal">
      <formula>0</formula>
    </cfRule>
  </conditionalFormatting>
  <conditionalFormatting sqref="D48:P48">
    <cfRule type="cellIs" dxfId="217" priority="167" operator="equal">
      <formula>0</formula>
    </cfRule>
  </conditionalFormatting>
  <conditionalFormatting sqref="D49:P49">
    <cfRule type="cellIs" dxfId="216" priority="166" operator="equal">
      <formula>0</formula>
    </cfRule>
  </conditionalFormatting>
  <conditionalFormatting sqref="D50:P50">
    <cfRule type="cellIs" dxfId="215" priority="165" operator="equal">
      <formula>0</formula>
    </cfRule>
  </conditionalFormatting>
  <conditionalFormatting sqref="D52:P52">
    <cfRule type="cellIs" dxfId="214" priority="164" operator="equal">
      <formula>0</formula>
    </cfRule>
  </conditionalFormatting>
  <conditionalFormatting sqref="D53:P53">
    <cfRule type="cellIs" dxfId="213" priority="163" operator="equal">
      <formula>0</formula>
    </cfRule>
  </conditionalFormatting>
  <conditionalFormatting sqref="D62:P62">
    <cfRule type="cellIs" dxfId="212" priority="162" operator="equal">
      <formula>0</formula>
    </cfRule>
  </conditionalFormatting>
  <conditionalFormatting sqref="D63:P63">
    <cfRule type="cellIs" dxfId="211" priority="161" operator="equal">
      <formula>0</formula>
    </cfRule>
  </conditionalFormatting>
  <conditionalFormatting sqref="D64:P64">
    <cfRule type="cellIs" dxfId="210" priority="160" operator="equal">
      <formula>0</formula>
    </cfRule>
  </conditionalFormatting>
  <conditionalFormatting sqref="D65:P65">
    <cfRule type="cellIs" dxfId="209" priority="159" operator="equal">
      <formula>0</formula>
    </cfRule>
  </conditionalFormatting>
  <conditionalFormatting sqref="D66:P66">
    <cfRule type="cellIs" dxfId="208" priority="158" operator="equal">
      <formula>0</formula>
    </cfRule>
  </conditionalFormatting>
  <conditionalFormatting sqref="D67:P67">
    <cfRule type="cellIs" dxfId="207" priority="157" operator="equal">
      <formula>0</formula>
    </cfRule>
  </conditionalFormatting>
  <conditionalFormatting sqref="D69:P69">
    <cfRule type="cellIs" dxfId="206" priority="156" operator="equal">
      <formula>0</formula>
    </cfRule>
  </conditionalFormatting>
  <conditionalFormatting sqref="D70:P70">
    <cfRule type="cellIs" dxfId="205" priority="155" operator="equal">
      <formula>0</formula>
    </cfRule>
  </conditionalFormatting>
  <conditionalFormatting sqref="D71:P74">
    <cfRule type="cellIs" dxfId="204" priority="154" operator="equal">
      <formula>0</formula>
    </cfRule>
  </conditionalFormatting>
  <conditionalFormatting sqref="D76:P82">
    <cfRule type="cellIs" dxfId="203" priority="153" operator="equal">
      <formula>0</formula>
    </cfRule>
  </conditionalFormatting>
  <conditionalFormatting sqref="D84:P87">
    <cfRule type="cellIs" dxfId="202" priority="147" operator="equal">
      <formula>0</formula>
    </cfRule>
  </conditionalFormatting>
  <conditionalFormatting sqref="D89:P97">
    <cfRule type="cellIs" dxfId="201" priority="146" operator="equal">
      <formula>0</formula>
    </cfRule>
  </conditionalFormatting>
  <conditionalFormatting sqref="D98:P98">
    <cfRule type="cellIs" dxfId="200" priority="138" operator="equal">
      <formula>0</formula>
    </cfRule>
  </conditionalFormatting>
  <conditionalFormatting sqref="D195:P195">
    <cfRule type="cellIs" dxfId="199" priority="63" operator="equal">
      <formula>0</formula>
    </cfRule>
  </conditionalFormatting>
  <conditionalFormatting sqref="E105:P105">
    <cfRule type="cellIs" dxfId="198" priority="130" operator="equal">
      <formula>0</formula>
    </cfRule>
  </conditionalFormatting>
  <conditionalFormatting sqref="D100:P100 D105">
    <cfRule type="cellIs" dxfId="197" priority="129" operator="equal">
      <formula>0</formula>
    </cfRule>
  </conditionalFormatting>
  <conditionalFormatting sqref="D109:P109">
    <cfRule type="cellIs" dxfId="196" priority="128" operator="equal">
      <formula>0</formula>
    </cfRule>
  </conditionalFormatting>
  <conditionalFormatting sqref="D110:P110">
    <cfRule type="cellIs" dxfId="195" priority="127" operator="equal">
      <formula>0</formula>
    </cfRule>
  </conditionalFormatting>
  <conditionalFormatting sqref="D111:P111">
    <cfRule type="cellIs" dxfId="194" priority="126" operator="equal">
      <formula>0</formula>
    </cfRule>
  </conditionalFormatting>
  <conditionalFormatting sqref="D112:P112">
    <cfRule type="cellIs" dxfId="193" priority="125" operator="equal">
      <formula>0</formula>
    </cfRule>
  </conditionalFormatting>
  <conditionalFormatting sqref="D113:P113">
    <cfRule type="cellIs" dxfId="192" priority="124" operator="equal">
      <formula>0</formula>
    </cfRule>
  </conditionalFormatting>
  <conditionalFormatting sqref="D114:P114">
    <cfRule type="cellIs" dxfId="191" priority="123" operator="equal">
      <formula>0</formula>
    </cfRule>
  </conditionalFormatting>
  <conditionalFormatting sqref="D115:P115">
    <cfRule type="cellIs" dxfId="190" priority="122" operator="equal">
      <formula>0</formula>
    </cfRule>
  </conditionalFormatting>
  <conditionalFormatting sqref="D117:P117">
    <cfRule type="cellIs" dxfId="189" priority="121" operator="equal">
      <formula>0</formula>
    </cfRule>
  </conditionalFormatting>
  <conditionalFormatting sqref="D118:P118">
    <cfRule type="cellIs" dxfId="188" priority="120" operator="equal">
      <formula>0</formula>
    </cfRule>
  </conditionalFormatting>
  <conditionalFormatting sqref="D119:P119">
    <cfRule type="cellIs" dxfId="187" priority="119" operator="equal">
      <formula>0</formula>
    </cfRule>
  </conditionalFormatting>
  <conditionalFormatting sqref="D120:P120">
    <cfRule type="cellIs" dxfId="186" priority="118" operator="equal">
      <formula>0</formula>
    </cfRule>
  </conditionalFormatting>
  <conditionalFormatting sqref="D122:P122">
    <cfRule type="cellIs" dxfId="185" priority="117" operator="equal">
      <formula>0</formula>
    </cfRule>
  </conditionalFormatting>
  <conditionalFormatting sqref="D123:P123">
    <cfRule type="cellIs" dxfId="184" priority="116" operator="equal">
      <formula>0</formula>
    </cfRule>
  </conditionalFormatting>
  <conditionalFormatting sqref="D124:P124">
    <cfRule type="cellIs" dxfId="183" priority="115" operator="equal">
      <formula>0</formula>
    </cfRule>
  </conditionalFormatting>
  <conditionalFormatting sqref="D125:P125">
    <cfRule type="cellIs" dxfId="182" priority="114" operator="equal">
      <formula>0</formula>
    </cfRule>
  </conditionalFormatting>
  <conditionalFormatting sqref="D126:P126">
    <cfRule type="cellIs" dxfId="181" priority="113" operator="equal">
      <formula>0</formula>
    </cfRule>
  </conditionalFormatting>
  <conditionalFormatting sqref="D127:P127">
    <cfRule type="cellIs" dxfId="180" priority="112" operator="equal">
      <formula>0</formula>
    </cfRule>
  </conditionalFormatting>
  <conditionalFormatting sqref="D129:P129">
    <cfRule type="cellIs" dxfId="179" priority="111" operator="equal">
      <formula>0</formula>
    </cfRule>
  </conditionalFormatting>
  <conditionalFormatting sqref="D130:P130">
    <cfRule type="cellIs" dxfId="178" priority="110" operator="equal">
      <formula>0</formula>
    </cfRule>
  </conditionalFormatting>
  <conditionalFormatting sqref="D131:P131">
    <cfRule type="cellIs" dxfId="177" priority="109" operator="equal">
      <formula>0</formula>
    </cfRule>
  </conditionalFormatting>
  <conditionalFormatting sqref="D133:P133">
    <cfRule type="cellIs" dxfId="176" priority="108" operator="equal">
      <formula>0</formula>
    </cfRule>
  </conditionalFormatting>
  <conditionalFormatting sqref="D134:P134">
    <cfRule type="cellIs" dxfId="175" priority="107" operator="equal">
      <formula>0</formula>
    </cfRule>
  </conditionalFormatting>
  <conditionalFormatting sqref="D135:P135">
    <cfRule type="cellIs" dxfId="174" priority="106" operator="equal">
      <formula>0</formula>
    </cfRule>
  </conditionalFormatting>
  <conditionalFormatting sqref="D136:P136">
    <cfRule type="cellIs" dxfId="173" priority="105" operator="equal">
      <formula>0</formula>
    </cfRule>
  </conditionalFormatting>
  <conditionalFormatting sqref="D137:P137">
    <cfRule type="cellIs" dxfId="172" priority="104" operator="equal">
      <formula>0</formula>
    </cfRule>
  </conditionalFormatting>
  <conditionalFormatting sqref="D138:P138">
    <cfRule type="cellIs" dxfId="171" priority="103" operator="equal">
      <formula>0</formula>
    </cfRule>
  </conditionalFormatting>
  <conditionalFormatting sqref="D140:P140">
    <cfRule type="cellIs" dxfId="170" priority="102" operator="equal">
      <formula>0</formula>
    </cfRule>
  </conditionalFormatting>
  <conditionalFormatting sqref="D141:P141">
    <cfRule type="cellIs" dxfId="169" priority="101" operator="equal">
      <formula>0</formula>
    </cfRule>
  </conditionalFormatting>
  <conditionalFormatting sqref="D142:P142">
    <cfRule type="cellIs" dxfId="168" priority="100" operator="equal">
      <formula>0</formula>
    </cfRule>
  </conditionalFormatting>
  <conditionalFormatting sqref="D143:P143">
    <cfRule type="cellIs" dxfId="167" priority="99" operator="equal">
      <formula>0</formula>
    </cfRule>
  </conditionalFormatting>
  <conditionalFormatting sqref="D145:P145">
    <cfRule type="cellIs" dxfId="166" priority="98" operator="equal">
      <formula>0</formula>
    </cfRule>
  </conditionalFormatting>
  <conditionalFormatting sqref="D146:P146">
    <cfRule type="cellIs" dxfId="165" priority="97" operator="equal">
      <formula>0</formula>
    </cfRule>
  </conditionalFormatting>
  <conditionalFormatting sqref="D147:P147">
    <cfRule type="cellIs" dxfId="164" priority="96" operator="equal">
      <formula>0</formula>
    </cfRule>
  </conditionalFormatting>
  <conditionalFormatting sqref="D149:P149">
    <cfRule type="cellIs" dxfId="163" priority="95" operator="equal">
      <formula>0</formula>
    </cfRule>
  </conditionalFormatting>
  <conditionalFormatting sqref="D150:P150">
    <cfRule type="cellIs" dxfId="162" priority="94" operator="equal">
      <formula>0</formula>
    </cfRule>
  </conditionalFormatting>
  <conditionalFormatting sqref="D151:P151">
    <cfRule type="cellIs" dxfId="161" priority="93" operator="equal">
      <formula>0</formula>
    </cfRule>
  </conditionalFormatting>
  <conditionalFormatting sqref="D152:P152">
    <cfRule type="cellIs" dxfId="160" priority="92" operator="equal">
      <formula>0</formula>
    </cfRule>
  </conditionalFormatting>
  <conditionalFormatting sqref="D153:P153">
    <cfRule type="cellIs" dxfId="159" priority="91" operator="equal">
      <formula>0</formula>
    </cfRule>
  </conditionalFormatting>
  <conditionalFormatting sqref="D158:P158">
    <cfRule type="cellIs" dxfId="158" priority="90" operator="equal">
      <formula>0</formula>
    </cfRule>
  </conditionalFormatting>
  <conditionalFormatting sqref="D159:P159">
    <cfRule type="cellIs" dxfId="157" priority="89" operator="equal">
      <formula>0</formula>
    </cfRule>
  </conditionalFormatting>
  <conditionalFormatting sqref="D160:P160">
    <cfRule type="cellIs" dxfId="156" priority="88" operator="equal">
      <formula>0</formula>
    </cfRule>
  </conditionalFormatting>
  <conditionalFormatting sqref="D161:P161">
    <cfRule type="cellIs" dxfId="155" priority="87" operator="equal">
      <formula>0</formula>
    </cfRule>
  </conditionalFormatting>
  <conditionalFormatting sqref="D162:P162">
    <cfRule type="cellIs" dxfId="154" priority="86" operator="equal">
      <formula>0</formula>
    </cfRule>
  </conditionalFormatting>
  <conditionalFormatting sqref="D164:P164">
    <cfRule type="cellIs" dxfId="153" priority="85" operator="equal">
      <formula>0</formula>
    </cfRule>
  </conditionalFormatting>
  <conditionalFormatting sqref="D166:P166">
    <cfRule type="cellIs" dxfId="152" priority="84" operator="equal">
      <formula>0</formula>
    </cfRule>
  </conditionalFormatting>
  <conditionalFormatting sqref="D165:P165">
    <cfRule type="cellIs" dxfId="151" priority="83" operator="equal">
      <formula>0</formula>
    </cfRule>
  </conditionalFormatting>
  <conditionalFormatting sqref="D168:P168">
    <cfRule type="cellIs" dxfId="150" priority="82" operator="equal">
      <formula>0</formula>
    </cfRule>
  </conditionalFormatting>
  <conditionalFormatting sqref="D169:P169">
    <cfRule type="cellIs" dxfId="149" priority="81" operator="equal">
      <formula>0</formula>
    </cfRule>
  </conditionalFormatting>
  <conditionalFormatting sqref="D170:P170">
    <cfRule type="cellIs" dxfId="148" priority="80" operator="equal">
      <formula>0</formula>
    </cfRule>
  </conditionalFormatting>
  <conditionalFormatting sqref="D171:P171">
    <cfRule type="cellIs" dxfId="147" priority="79" operator="equal">
      <formula>0</formula>
    </cfRule>
  </conditionalFormatting>
  <conditionalFormatting sqref="D172:P172">
    <cfRule type="cellIs" dxfId="146" priority="78" operator="equal">
      <formula>0</formula>
    </cfRule>
  </conditionalFormatting>
  <conditionalFormatting sqref="D176:P176">
    <cfRule type="cellIs" dxfId="145" priority="77" operator="equal">
      <formula>0</formula>
    </cfRule>
  </conditionalFormatting>
  <conditionalFormatting sqref="D177:P177">
    <cfRule type="cellIs" dxfId="144" priority="76" operator="equal">
      <formula>0</formula>
    </cfRule>
  </conditionalFormatting>
  <conditionalFormatting sqref="D178:P178">
    <cfRule type="cellIs" dxfId="143" priority="75" operator="equal">
      <formula>0</formula>
    </cfRule>
  </conditionalFormatting>
  <conditionalFormatting sqref="D179:P179">
    <cfRule type="cellIs" dxfId="142" priority="74" operator="equal">
      <formula>0</formula>
    </cfRule>
  </conditionalFormatting>
  <conditionalFormatting sqref="D181:P181">
    <cfRule type="cellIs" dxfId="141" priority="73" operator="equal">
      <formula>0</formula>
    </cfRule>
  </conditionalFormatting>
  <conditionalFormatting sqref="D182:P182">
    <cfRule type="cellIs" dxfId="140" priority="72" operator="equal">
      <formula>0</formula>
    </cfRule>
  </conditionalFormatting>
  <conditionalFormatting sqref="D183:P183">
    <cfRule type="cellIs" dxfId="139" priority="71" operator="equal">
      <formula>0</formula>
    </cfRule>
  </conditionalFormatting>
  <conditionalFormatting sqref="D184:P184">
    <cfRule type="cellIs" dxfId="138" priority="70" operator="equal">
      <formula>0</formula>
    </cfRule>
  </conditionalFormatting>
  <conditionalFormatting sqref="D188:P188">
    <cfRule type="cellIs" dxfId="137" priority="69" operator="equal">
      <formula>0</formula>
    </cfRule>
  </conditionalFormatting>
  <conditionalFormatting sqref="D189:P189">
    <cfRule type="cellIs" dxfId="136" priority="68" operator="equal">
      <formula>0</formula>
    </cfRule>
  </conditionalFormatting>
  <conditionalFormatting sqref="D190:P190">
    <cfRule type="cellIs" dxfId="135" priority="67" operator="equal">
      <formula>0</formula>
    </cfRule>
  </conditionalFormatting>
  <conditionalFormatting sqref="D191:P191">
    <cfRule type="cellIs" dxfId="134" priority="66" operator="equal">
      <formula>0</formula>
    </cfRule>
  </conditionalFormatting>
  <conditionalFormatting sqref="D193:P193">
    <cfRule type="cellIs" dxfId="133" priority="65" operator="equal">
      <formula>0</formula>
    </cfRule>
  </conditionalFormatting>
  <conditionalFormatting sqref="D194:P194">
    <cfRule type="cellIs" dxfId="132" priority="64" operator="equal">
      <formula>0</formula>
    </cfRule>
  </conditionalFormatting>
  <conditionalFormatting sqref="D196:P196">
    <cfRule type="cellIs" dxfId="131" priority="62" operator="equal">
      <formula>0</formula>
    </cfRule>
  </conditionalFormatting>
  <conditionalFormatting sqref="D197:P197">
    <cfRule type="cellIs" dxfId="130" priority="61" operator="equal">
      <formula>0</formula>
    </cfRule>
  </conditionalFormatting>
  <conditionalFormatting sqref="D199:P199">
    <cfRule type="cellIs" dxfId="129" priority="60" operator="equal">
      <formula>0</formula>
    </cfRule>
  </conditionalFormatting>
  <conditionalFormatting sqref="D200:P200">
    <cfRule type="cellIs" dxfId="128" priority="59" operator="equal">
      <formula>0</formula>
    </cfRule>
  </conditionalFormatting>
  <conditionalFormatting sqref="D201:P201">
    <cfRule type="cellIs" dxfId="127" priority="58" operator="equal">
      <formula>0</formula>
    </cfRule>
  </conditionalFormatting>
  <conditionalFormatting sqref="D202:P202">
    <cfRule type="cellIs" dxfId="126" priority="57" operator="equal">
      <formula>0</formula>
    </cfRule>
  </conditionalFormatting>
  <conditionalFormatting sqref="D203:P203">
    <cfRule type="cellIs" dxfId="125" priority="56" operator="equal">
      <formula>0</formula>
    </cfRule>
  </conditionalFormatting>
  <conditionalFormatting sqref="B92 B100 B105 B55:B58">
    <cfRule type="expression" dxfId="124" priority="55">
      <formula>D55=0</formula>
    </cfRule>
  </conditionalFormatting>
  <conditionalFormatting sqref="B93">
    <cfRule type="expression" dxfId="123" priority="54">
      <formula>D93=0</formula>
    </cfRule>
  </conditionalFormatting>
  <conditionalFormatting sqref="B94:B96">
    <cfRule type="expression" dxfId="122" priority="53">
      <formula>D94=0</formula>
    </cfRule>
  </conditionalFormatting>
  <conditionalFormatting sqref="B98">
    <cfRule type="expression" dxfId="121" priority="50">
      <formula>D98=0</formula>
    </cfRule>
  </conditionalFormatting>
  <conditionalFormatting sqref="B97">
    <cfRule type="expression" dxfId="120" priority="51">
      <formula>D97=0</formula>
    </cfRule>
  </conditionalFormatting>
  <conditionalFormatting sqref="B89:B91">
    <cfRule type="expression" dxfId="119" priority="48">
      <formula>D89=0</formula>
    </cfRule>
  </conditionalFormatting>
  <conditionalFormatting sqref="B84:B87">
    <cfRule type="expression" dxfId="118" priority="47">
      <formula>D84=0</formula>
    </cfRule>
  </conditionalFormatting>
  <conditionalFormatting sqref="B76:B82">
    <cfRule type="expression" dxfId="117" priority="46">
      <formula>D76=0</formula>
    </cfRule>
  </conditionalFormatting>
  <conditionalFormatting sqref="B69:B74">
    <cfRule type="expression" dxfId="116" priority="45">
      <formula>D69=0</formula>
    </cfRule>
  </conditionalFormatting>
  <conditionalFormatting sqref="B62:B67">
    <cfRule type="expression" dxfId="115" priority="44">
      <formula>D62=0</formula>
    </cfRule>
  </conditionalFormatting>
  <conditionalFormatting sqref="B44:B46">
    <cfRule type="expression" dxfId="114" priority="43">
      <formula>D44=0</formula>
    </cfRule>
  </conditionalFormatting>
  <conditionalFormatting sqref="B48:B50">
    <cfRule type="expression" dxfId="113" priority="42">
      <formula>D48=0</formula>
    </cfRule>
  </conditionalFormatting>
  <conditionalFormatting sqref="B52:B53">
    <cfRule type="expression" dxfId="112" priority="41">
      <formula>D52=0</formula>
    </cfRule>
  </conditionalFormatting>
  <conditionalFormatting sqref="B109:B115">
    <cfRule type="expression" dxfId="111" priority="40">
      <formula>D109=0</formula>
    </cfRule>
  </conditionalFormatting>
  <conditionalFormatting sqref="B117:B120">
    <cfRule type="expression" dxfId="110" priority="39">
      <formula>D117=0</formula>
    </cfRule>
  </conditionalFormatting>
  <conditionalFormatting sqref="B122:B127">
    <cfRule type="expression" dxfId="109" priority="38">
      <formula>D122=0</formula>
    </cfRule>
  </conditionalFormatting>
  <conditionalFormatting sqref="B129:B131">
    <cfRule type="expression" dxfId="108" priority="37">
      <formula>D129=0</formula>
    </cfRule>
  </conditionalFormatting>
  <conditionalFormatting sqref="B133:B138">
    <cfRule type="expression" dxfId="107" priority="36">
      <formula>D133=0</formula>
    </cfRule>
  </conditionalFormatting>
  <conditionalFormatting sqref="B140:B143">
    <cfRule type="expression" dxfId="106" priority="35">
      <formula>D140=0</formula>
    </cfRule>
  </conditionalFormatting>
  <conditionalFormatting sqref="B145">
    <cfRule type="expression" dxfId="105" priority="34">
      <formula>D145=0</formula>
    </cfRule>
  </conditionalFormatting>
  <conditionalFormatting sqref="B146">
    <cfRule type="expression" dxfId="104" priority="33">
      <formula>D146=0</formula>
    </cfRule>
  </conditionalFormatting>
  <conditionalFormatting sqref="B147">
    <cfRule type="expression" dxfId="103" priority="32">
      <formula>D147=0</formula>
    </cfRule>
  </conditionalFormatting>
  <conditionalFormatting sqref="B149:B153">
    <cfRule type="expression" dxfId="102" priority="31">
      <formula>D149=0</formula>
    </cfRule>
  </conditionalFormatting>
  <conditionalFormatting sqref="B158:B162">
    <cfRule type="expression" dxfId="101" priority="30">
      <formula>D158=0</formula>
    </cfRule>
  </conditionalFormatting>
  <conditionalFormatting sqref="B164:B166">
    <cfRule type="expression" dxfId="100" priority="29">
      <formula>D164=0</formula>
    </cfRule>
  </conditionalFormatting>
  <conditionalFormatting sqref="B168:B172">
    <cfRule type="expression" dxfId="99" priority="28">
      <formula>D168=0</formula>
    </cfRule>
  </conditionalFormatting>
  <conditionalFormatting sqref="B176:B179">
    <cfRule type="expression" dxfId="98" priority="27">
      <formula>D176=0</formula>
    </cfRule>
  </conditionalFormatting>
  <conditionalFormatting sqref="B181:B184">
    <cfRule type="expression" dxfId="97" priority="26">
      <formula>D181=0</formula>
    </cfRule>
  </conditionalFormatting>
  <conditionalFormatting sqref="B188:B191">
    <cfRule type="expression" dxfId="96" priority="25">
      <formula>D188=0</formula>
    </cfRule>
  </conditionalFormatting>
  <conditionalFormatting sqref="B193:B197">
    <cfRule type="expression" dxfId="95" priority="24">
      <formula>D193=0</formula>
    </cfRule>
  </conditionalFormatting>
  <conditionalFormatting sqref="B199:B202">
    <cfRule type="expression" dxfId="94" priority="23">
      <formula>D199=0</formula>
    </cfRule>
  </conditionalFormatting>
  <conditionalFormatting sqref="B203">
    <cfRule type="expression" dxfId="93" priority="22">
      <formula>D203=0</formula>
    </cfRule>
  </conditionalFormatting>
  <conditionalFormatting sqref="S87:V87">
    <cfRule type="expression" dxfId="92" priority="20">
      <formula>D87=0</formula>
    </cfRule>
  </conditionalFormatting>
  <conditionalFormatting sqref="D47:P47">
    <cfRule type="cellIs" dxfId="91" priority="19" operator="equal">
      <formula>0</formula>
    </cfRule>
  </conditionalFormatting>
  <conditionalFormatting sqref="D51:P51">
    <cfRule type="cellIs" dxfId="90" priority="18" operator="equal">
      <formula>0</formula>
    </cfRule>
  </conditionalFormatting>
  <conditionalFormatting sqref="B17">
    <cfRule type="cellIs" dxfId="89" priority="17" operator="equal">
      <formula>0</formula>
    </cfRule>
  </conditionalFormatting>
  <conditionalFormatting sqref="B18">
    <cfRule type="cellIs" dxfId="88" priority="16" operator="equal">
      <formula>0</formula>
    </cfRule>
  </conditionalFormatting>
  <conditionalFormatting sqref="B19">
    <cfRule type="cellIs" dxfId="87" priority="15" operator="equal">
      <formula>0</formula>
    </cfRule>
  </conditionalFormatting>
  <conditionalFormatting sqref="B21:B32">
    <cfRule type="cellIs" dxfId="86" priority="14" operator="equal">
      <formula>0</formula>
    </cfRule>
  </conditionalFormatting>
  <conditionalFormatting sqref="T17:V17">
    <cfRule type="expression" dxfId="85" priority="13">
      <formula>B17=0</formula>
    </cfRule>
  </conditionalFormatting>
  <conditionalFormatting sqref="T18:V18">
    <cfRule type="expression" dxfId="84" priority="12">
      <formula>B18=0</formula>
    </cfRule>
  </conditionalFormatting>
  <conditionalFormatting sqref="T19:V19">
    <cfRule type="expression" dxfId="83" priority="11">
      <formula>B19=0</formula>
    </cfRule>
  </conditionalFormatting>
  <conditionalFormatting sqref="T21:V32">
    <cfRule type="expression" dxfId="82" priority="10">
      <formula>B21=0</formula>
    </cfRule>
  </conditionalFormatting>
  <conditionalFormatting sqref="Q101:R104">
    <cfRule type="expression" dxfId="81" priority="9">
      <formula>D101=0</formula>
    </cfRule>
  </conditionalFormatting>
  <conditionalFormatting sqref="S101:V104">
    <cfRule type="expression" dxfId="80" priority="8">
      <formula>D101=0</formula>
    </cfRule>
  </conditionalFormatting>
  <conditionalFormatting sqref="D101:P104">
    <cfRule type="cellIs" dxfId="79" priority="7" operator="equal">
      <formula>0</formula>
    </cfRule>
  </conditionalFormatting>
  <conditionalFormatting sqref="B101:B104">
    <cfRule type="expression" dxfId="78" priority="6">
      <formula>D101=0</formula>
    </cfRule>
  </conditionalFormatting>
  <conditionalFormatting sqref="D54:P54">
    <cfRule type="cellIs" dxfId="77" priority="1" operator="equal">
      <formula>0</formula>
    </cfRule>
  </conditionalFormatting>
  <pageMargins left="0.5" right="0.5" top="0.5" bottom="0.5" header="0" footer="0"/>
  <pageSetup paperSize="9" scale="68" orientation="landscape" r:id="rId1"/>
  <rowBreaks count="3" manualBreakCount="3">
    <brk id="67" max="16383" man="1"/>
    <brk id="115" max="16383" man="1"/>
    <brk id="15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72" id="{3F43CF3F-A918-45A9-8455-2542B3D4262E}">
            <xm:f>'Data Analysis'!$E$441=0</xm:f>
            <x14:dxf>
              <font>
                <color theme="0" tint="-0.499984740745262"/>
              </font>
              <fill>
                <patternFill>
                  <bgColor theme="0" tint="-0.499984740745262"/>
                </patternFill>
              </fill>
            </x14:dxf>
          </x14:cfRule>
          <xm:sqref>B174:R174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C00000"/>
  </sheetPr>
  <dimension ref="A1:O16"/>
  <sheetViews>
    <sheetView zoomScale="90" zoomScaleNormal="90" workbookViewId="0">
      <selection activeCell="F4" sqref="F4"/>
    </sheetView>
  </sheetViews>
  <sheetFormatPr defaultColWidth="9.21875" defaultRowHeight="14.4" x14ac:dyDescent="0.3"/>
  <cols>
    <col min="1" max="1" width="1.44140625" style="1421" customWidth="1"/>
    <col min="2" max="2" width="17.44140625" style="1421" bestFit="1" customWidth="1"/>
    <col min="3" max="3" width="47.77734375" style="1421" customWidth="1"/>
    <col min="4" max="4" width="17.44140625" style="1421" bestFit="1" customWidth="1"/>
    <col min="5" max="5" width="18.21875" style="1421" bestFit="1" customWidth="1"/>
    <col min="6" max="6" width="25.44140625" style="1421" bestFit="1" customWidth="1"/>
    <col min="7" max="7" width="79.44140625" style="1421" customWidth="1"/>
    <col min="8" max="8" width="1.44140625" style="1421" customWidth="1"/>
    <col min="9" max="16384" width="9.21875" style="1421"/>
  </cols>
  <sheetData>
    <row r="1" spans="1:15" ht="7.5" customHeight="1" x14ac:dyDescent="0.3">
      <c r="A1" s="47"/>
      <c r="B1" s="47"/>
      <c r="C1" s="47"/>
      <c r="D1" s="47"/>
      <c r="E1" s="47"/>
      <c r="F1" s="47"/>
      <c r="G1" s="47"/>
      <c r="H1" s="47"/>
    </row>
    <row r="2" spans="1:15" ht="130.35" customHeight="1" x14ac:dyDescent="0.3">
      <c r="A2" s="1418"/>
      <c r="B2" s="2481" t="s">
        <v>1047</v>
      </c>
      <c r="C2" s="2481"/>
      <c r="D2" s="2481"/>
      <c r="E2" s="2481"/>
      <c r="F2" s="2481"/>
      <c r="G2" s="2482"/>
      <c r="H2" s="1432"/>
      <c r="I2" s="1422"/>
      <c r="J2" s="1422"/>
      <c r="K2" s="1422"/>
      <c r="L2" s="1422"/>
      <c r="M2" s="1422"/>
      <c r="N2" s="1422"/>
      <c r="O2" s="1422"/>
    </row>
    <row r="3" spans="1:15" ht="7.5" customHeight="1" x14ac:dyDescent="0.3">
      <c r="A3" s="47"/>
      <c r="B3" s="47"/>
      <c r="C3" s="47"/>
      <c r="D3" s="47"/>
      <c r="E3" s="47"/>
      <c r="F3" s="47"/>
      <c r="G3" s="47"/>
      <c r="H3" s="47"/>
    </row>
    <row r="4" spans="1:15" ht="39" customHeight="1" x14ac:dyDescent="0.35">
      <c r="A4" s="47"/>
      <c r="B4" s="1587" t="s">
        <v>595</v>
      </c>
      <c r="C4" s="1587" t="s">
        <v>596</v>
      </c>
      <c r="D4" s="1587" t="s">
        <v>597</v>
      </c>
      <c r="E4" s="1588" t="s">
        <v>629</v>
      </c>
      <c r="F4" s="1588" t="s">
        <v>628</v>
      </c>
      <c r="G4" s="1587" t="s">
        <v>609</v>
      </c>
      <c r="H4" s="1419"/>
    </row>
    <row r="5" spans="1:15" ht="63" thickBot="1" x14ac:dyDescent="0.4">
      <c r="A5" s="47"/>
      <c r="B5" s="1423">
        <v>1</v>
      </c>
      <c r="C5" s="1423" t="s">
        <v>600</v>
      </c>
      <c r="D5" s="1424" t="s">
        <v>598</v>
      </c>
      <c r="E5" s="1424" t="s">
        <v>604</v>
      </c>
      <c r="F5" s="1424" t="s">
        <v>614</v>
      </c>
      <c r="G5" s="1425" t="s">
        <v>634</v>
      </c>
      <c r="H5" s="1420"/>
    </row>
    <row r="6" spans="1:15" ht="63.6" thickTop="1" thickBot="1" x14ac:dyDescent="0.4">
      <c r="A6" s="47"/>
      <c r="B6" s="1423">
        <f>B5+1</f>
        <v>2</v>
      </c>
      <c r="C6" s="1423" t="s">
        <v>601</v>
      </c>
      <c r="D6" s="1424" t="s">
        <v>598</v>
      </c>
      <c r="E6" s="1424" t="s">
        <v>605</v>
      </c>
      <c r="F6" s="1424" t="s">
        <v>615</v>
      </c>
      <c r="G6" s="1425" t="s">
        <v>635</v>
      </c>
      <c r="H6" s="1420"/>
    </row>
    <row r="7" spans="1:15" ht="79.2" thickTop="1" thickBot="1" x14ac:dyDescent="0.4">
      <c r="A7" s="47"/>
      <c r="B7" s="1423">
        <f>B6+1</f>
        <v>3</v>
      </c>
      <c r="C7" s="1423" t="s">
        <v>602</v>
      </c>
      <c r="D7" s="1424" t="s">
        <v>598</v>
      </c>
      <c r="E7" s="1424" t="s">
        <v>599</v>
      </c>
      <c r="F7" s="1435" t="s">
        <v>616</v>
      </c>
      <c r="G7" s="1425" t="s">
        <v>636</v>
      </c>
      <c r="H7" s="1420"/>
    </row>
    <row r="8" spans="1:15" ht="79.2" thickTop="1" thickBot="1" x14ac:dyDescent="0.4">
      <c r="A8" s="47"/>
      <c r="B8" s="1423">
        <f>B7+1</f>
        <v>4</v>
      </c>
      <c r="C8" s="1423" t="s">
        <v>603</v>
      </c>
      <c r="D8" s="1424" t="s">
        <v>598</v>
      </c>
      <c r="E8" s="1424" t="s">
        <v>599</v>
      </c>
      <c r="F8" s="1435" t="s">
        <v>617</v>
      </c>
      <c r="G8" s="1425" t="s">
        <v>637</v>
      </c>
      <c r="H8" s="1420"/>
    </row>
    <row r="9" spans="1:15" ht="80.25" customHeight="1" thickTop="1" thickBot="1" x14ac:dyDescent="0.4">
      <c r="A9" s="47"/>
      <c r="B9" s="1423">
        <v>5</v>
      </c>
      <c r="C9" s="1969" t="s">
        <v>811</v>
      </c>
      <c r="D9" s="1424" t="s">
        <v>598</v>
      </c>
      <c r="E9" s="1424" t="s">
        <v>813</v>
      </c>
      <c r="F9" s="1435" t="s">
        <v>814</v>
      </c>
      <c r="G9" s="1425" t="s">
        <v>817</v>
      </c>
      <c r="H9" s="1420"/>
    </row>
    <row r="10" spans="1:15" ht="80.25" customHeight="1" thickTop="1" thickBot="1" x14ac:dyDescent="0.4">
      <c r="A10" s="47"/>
      <c r="B10" s="1423">
        <v>6</v>
      </c>
      <c r="C10" s="1969" t="s">
        <v>812</v>
      </c>
      <c r="D10" s="1424" t="s">
        <v>598</v>
      </c>
      <c r="E10" s="1424" t="s">
        <v>815</v>
      </c>
      <c r="F10" s="1435" t="s">
        <v>816</v>
      </c>
      <c r="G10" s="1425" t="s">
        <v>818</v>
      </c>
      <c r="H10" s="1420"/>
    </row>
    <row r="11" spans="1:15" ht="80.25" customHeight="1" thickTop="1" thickBot="1" x14ac:dyDescent="0.4">
      <c r="A11" s="47"/>
      <c r="B11" s="1423">
        <v>7</v>
      </c>
      <c r="C11" s="1969" t="s">
        <v>1048</v>
      </c>
      <c r="D11" s="1424" t="s">
        <v>598</v>
      </c>
      <c r="E11" s="1424" t="s">
        <v>1049</v>
      </c>
      <c r="F11" s="1435" t="s">
        <v>1050</v>
      </c>
      <c r="G11" s="1425" t="s">
        <v>818</v>
      </c>
      <c r="H11" s="1420"/>
    </row>
    <row r="12" spans="1:15" ht="66" customHeight="1" thickTop="1" thickBot="1" x14ac:dyDescent="0.4">
      <c r="A12" s="47"/>
      <c r="B12" s="1423">
        <v>8</v>
      </c>
      <c r="C12" s="1423" t="s">
        <v>606</v>
      </c>
      <c r="D12" s="1424" t="s">
        <v>608</v>
      </c>
      <c r="E12" s="1424" t="s">
        <v>1051</v>
      </c>
      <c r="F12" s="1424" t="s">
        <v>618</v>
      </c>
      <c r="G12" s="1425" t="s">
        <v>638</v>
      </c>
      <c r="H12" s="1420"/>
    </row>
    <row r="13" spans="1:15" ht="63.6" thickTop="1" thickBot="1" x14ac:dyDescent="0.4">
      <c r="A13" s="47"/>
      <c r="B13" s="1423">
        <v>9</v>
      </c>
      <c r="C13" s="1423" t="s">
        <v>607</v>
      </c>
      <c r="D13" s="1424" t="s">
        <v>608</v>
      </c>
      <c r="E13" s="1424" t="s">
        <v>1052</v>
      </c>
      <c r="F13" s="1424" t="s">
        <v>619</v>
      </c>
      <c r="G13" s="1425" t="s">
        <v>639</v>
      </c>
      <c r="H13" s="1420"/>
    </row>
    <row r="14" spans="1:15" ht="7.5" customHeight="1" thickTop="1" x14ac:dyDescent="0.3">
      <c r="A14" s="47"/>
      <c r="B14" s="47"/>
      <c r="C14" s="47"/>
      <c r="D14" s="47"/>
      <c r="E14" s="47"/>
      <c r="F14" s="47"/>
      <c r="G14" s="47"/>
      <c r="H14" s="47"/>
    </row>
    <row r="15" spans="1:15" x14ac:dyDescent="0.3">
      <c r="A15" s="1581"/>
      <c r="B15" s="1581"/>
      <c r="C15" s="1581"/>
      <c r="D15" s="1581"/>
      <c r="E15" s="1581"/>
      <c r="F15" s="1581"/>
      <c r="G15" s="1581"/>
      <c r="H15" s="1581"/>
    </row>
    <row r="16" spans="1:15" x14ac:dyDescent="0.3">
      <c r="A16" s="1581"/>
      <c r="B16" s="1581"/>
      <c r="C16" s="1581"/>
      <c r="D16" s="1581"/>
      <c r="E16" s="1581"/>
      <c r="F16" s="1581"/>
      <c r="G16" s="1581"/>
      <c r="H16" s="1581"/>
    </row>
  </sheetData>
  <sheetProtection password="DA20" sheet="1" objects="1" scenarios="1"/>
  <mergeCells count="1">
    <mergeCell ref="B2:G2"/>
  </mergeCells>
  <hyperlinks>
    <hyperlink ref="C5" location="PR" display="Select applicable prerequisites" xr:uid="{00000000-0004-0000-0C00-000000000000}"/>
    <hyperlink ref="C6" location="PDB" display="Select applicable potential deal breakers" xr:uid="{00000000-0004-0000-0C00-000001000000}"/>
    <hyperlink ref="C7" location="APW" display="Alter parameter weights " xr:uid="{00000000-0004-0000-0C00-000002000000}"/>
    <hyperlink ref="C8" location="APW" display="Alter sub-parameter weights " xr:uid="{00000000-0004-0000-0C00-000003000000}"/>
    <hyperlink ref="C12" location="CR" display="Alter complexity ratio weights" xr:uid="{00000000-0004-0000-0C00-000004000000}"/>
    <hyperlink ref="C13" location="AR" display="Alter question wise weights" xr:uid="{00000000-0004-0000-0C00-000005000000}"/>
    <hyperlink ref="C9" location="Level5" display="Altering threshold limits specified for overarching score constraints " xr:uid="{00000000-0004-0000-0C00-000006000000}"/>
    <hyperlink ref="C10" location="Level6" display="Altering the default threshold constraining the Overall Project Score" xr:uid="{00000000-0004-0000-0C00-000007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C00000"/>
    <pageSetUpPr fitToPage="1"/>
  </sheetPr>
  <dimension ref="A1:AM71"/>
  <sheetViews>
    <sheetView showGridLines="0" zoomScale="70" zoomScaleNormal="70" workbookViewId="0"/>
  </sheetViews>
  <sheetFormatPr defaultColWidth="9.21875" defaultRowHeight="14.4" x14ac:dyDescent="0.3"/>
  <cols>
    <col min="1" max="1" width="5.5546875" style="47" customWidth="1"/>
    <col min="2" max="2" width="9.21875" style="12"/>
    <col min="3" max="3" width="14.5546875" style="12" customWidth="1"/>
    <col min="4" max="4" width="37.44140625" style="12" customWidth="1"/>
    <col min="5" max="5" width="17" style="12" customWidth="1"/>
    <col min="6" max="6" width="11.77734375" style="12" customWidth="1"/>
    <col min="7" max="7" width="5.5546875" style="47" customWidth="1"/>
    <col min="8" max="8" width="16" style="12" customWidth="1"/>
    <col min="9" max="9" width="15.21875" style="13" customWidth="1"/>
    <col min="10" max="10" width="20" style="12" customWidth="1"/>
    <col min="11" max="11" width="16" style="12" customWidth="1"/>
    <col min="12" max="12" width="10.44140625" style="12" customWidth="1"/>
    <col min="13" max="13" width="8.77734375" style="12" customWidth="1"/>
    <col min="14" max="14" width="11.21875" style="12" customWidth="1"/>
    <col min="15" max="16" width="9.21875" style="12" customWidth="1"/>
    <col min="17" max="20" width="9.21875" style="12"/>
    <col min="21" max="21" width="20.44140625" style="12" customWidth="1"/>
    <col min="22" max="22" width="16" style="12" customWidth="1"/>
    <col min="23" max="16384" width="9.21875" style="12"/>
  </cols>
  <sheetData>
    <row r="1" spans="2:22" ht="28.5" customHeight="1" x14ac:dyDescent="0.55000000000000004">
      <c r="B1" s="1301"/>
      <c r="C1" s="1301"/>
      <c r="D1" s="1302"/>
      <c r="E1" s="1302" t="s">
        <v>76</v>
      </c>
      <c r="F1" s="1301"/>
      <c r="G1" s="1301"/>
      <c r="H1" s="1301"/>
      <c r="I1" s="1303"/>
      <c r="J1" s="1301"/>
      <c r="K1" s="2"/>
      <c r="L1" s="2"/>
      <c r="M1" s="2"/>
      <c r="N1" s="2"/>
    </row>
    <row r="2" spans="2:22" ht="15" thickBot="1" x14ac:dyDescent="0.35"/>
    <row r="3" spans="2:22" ht="42.75" customHeight="1" thickBot="1" x14ac:dyDescent="0.35">
      <c r="B3" s="7" t="s">
        <v>31</v>
      </c>
      <c r="C3" s="43" t="s">
        <v>0</v>
      </c>
      <c r="D3" s="43" t="s">
        <v>47</v>
      </c>
      <c r="E3" s="1978"/>
      <c r="F3" s="43" t="s">
        <v>2</v>
      </c>
      <c r="G3" s="43" t="s">
        <v>333</v>
      </c>
      <c r="H3" s="127"/>
      <c r="I3" s="43" t="s">
        <v>60</v>
      </c>
      <c r="J3" s="43" t="s">
        <v>130</v>
      </c>
      <c r="K3" s="43" t="s">
        <v>183</v>
      </c>
      <c r="L3" s="43" t="s">
        <v>48</v>
      </c>
      <c r="M3" s="43"/>
      <c r="N3" s="6"/>
      <c r="P3" s="2487" t="s">
        <v>67</v>
      </c>
      <c r="Q3" s="2243" t="s">
        <v>524</v>
      </c>
      <c r="R3" s="2243"/>
      <c r="S3" s="2243"/>
      <c r="T3" s="2243"/>
      <c r="U3" s="2243"/>
      <c r="V3" s="2243"/>
    </row>
    <row r="4" spans="2:22" ht="15.75" customHeight="1" x14ac:dyDescent="0.3">
      <c r="B4" s="41" t="s">
        <v>44</v>
      </c>
      <c r="C4" s="1384" t="str">
        <f>'Data Analysis'!C198</f>
        <v>Strategic Suitability</v>
      </c>
      <c r="D4" s="1582"/>
      <c r="E4" s="1971"/>
      <c r="F4" s="39">
        <f>'Data Analysis'!G214/100</f>
        <v>0.1</v>
      </c>
      <c r="G4" s="1971"/>
      <c r="H4" s="1974"/>
      <c r="I4" s="128"/>
      <c r="J4" s="128"/>
      <c r="K4" s="128"/>
      <c r="L4" s="925">
        <f>'Data Analysis'!E295</f>
        <v>5</v>
      </c>
      <c r="M4" s="128"/>
      <c r="N4" s="129"/>
      <c r="P4" s="2487"/>
      <c r="Q4" s="2243" t="s">
        <v>540</v>
      </c>
      <c r="R4" s="2243"/>
      <c r="S4" s="2243"/>
      <c r="T4" s="2243"/>
      <c r="U4" s="2243"/>
      <c r="V4" s="2243"/>
    </row>
    <row r="5" spans="2:22" x14ac:dyDescent="0.3">
      <c r="B5" s="130"/>
      <c r="C5" s="1583">
        <f>'I.Strategic Suitability'!B29</f>
        <v>1</v>
      </c>
      <c r="D5" s="17" t="str">
        <f>SuitabilityA</f>
        <v>Alignment with government priorities</v>
      </c>
      <c r="E5" s="150"/>
      <c r="F5" s="131"/>
      <c r="G5" s="1972">
        <v>5</v>
      </c>
      <c r="H5" s="1975"/>
      <c r="I5" s="120">
        <f>'Data Analysis'!K215/100</f>
        <v>0.25</v>
      </c>
      <c r="J5" s="22">
        <f>'Data Analysis'!M276</f>
        <v>5</v>
      </c>
      <c r="K5" s="22">
        <f>'Data Analysis'!N276</f>
        <v>1.25</v>
      </c>
      <c r="L5" s="131"/>
      <c r="M5" s="8"/>
      <c r="N5" s="9"/>
      <c r="P5" s="2487"/>
      <c r="Q5" s="2243"/>
      <c r="R5" s="2243"/>
      <c r="S5" s="2243"/>
      <c r="T5" s="2243"/>
      <c r="U5" s="2243"/>
      <c r="V5" s="2243"/>
    </row>
    <row r="6" spans="2:22" ht="15" customHeight="1" x14ac:dyDescent="0.3">
      <c r="B6" s="130"/>
      <c r="C6" s="1583">
        <f>'I.Strategic Suitability'!B35</f>
        <v>2</v>
      </c>
      <c r="D6" s="17" t="str">
        <f>SuitabilityB</f>
        <v>Identification of service need</v>
      </c>
      <c r="E6" s="150"/>
      <c r="F6" s="131"/>
      <c r="G6" s="1972">
        <v>5</v>
      </c>
      <c r="H6" s="1975"/>
      <c r="I6" s="120">
        <f>'Data Analysis'!K216/100</f>
        <v>0.25</v>
      </c>
      <c r="J6" s="22">
        <f>'Data Analysis'!M281</f>
        <v>5</v>
      </c>
      <c r="K6" s="22">
        <f>'Data Analysis'!N281</f>
        <v>1.25</v>
      </c>
      <c r="L6" s="131"/>
      <c r="M6" s="8"/>
      <c r="N6" s="9"/>
      <c r="P6" s="2487"/>
      <c r="Q6" s="2243" t="s">
        <v>526</v>
      </c>
      <c r="R6" s="2243"/>
      <c r="S6" s="2243"/>
      <c r="T6" s="2243"/>
      <c r="U6" s="2243"/>
      <c r="V6" s="2243"/>
    </row>
    <row r="7" spans="2:22" x14ac:dyDescent="0.3">
      <c r="B7" s="130"/>
      <c r="C7" s="1583">
        <f>'I.Strategic Suitability'!B40</f>
        <v>3</v>
      </c>
      <c r="D7" s="17" t="str">
        <f>SuitabilityC</f>
        <v>Assessment of service delivery options</v>
      </c>
      <c r="E7" s="150"/>
      <c r="F7" s="131"/>
      <c r="G7" s="1972">
        <v>5</v>
      </c>
      <c r="H7" s="1975"/>
      <c r="I7" s="120">
        <f>'Data Analysis'!K217/100</f>
        <v>0.25</v>
      </c>
      <c r="J7" s="22">
        <f>'Data Analysis'!M286</f>
        <v>5</v>
      </c>
      <c r="K7" s="22">
        <f>'Data Analysis'!N286</f>
        <v>1.25</v>
      </c>
      <c r="L7" s="131"/>
      <c r="M7" s="8"/>
      <c r="N7" s="9"/>
      <c r="P7" s="2487"/>
      <c r="Q7" s="2243"/>
      <c r="R7" s="2243"/>
      <c r="S7" s="2243"/>
      <c r="T7" s="2243"/>
      <c r="U7" s="2243"/>
      <c r="V7" s="2243"/>
    </row>
    <row r="8" spans="2:22" ht="15" customHeight="1" x14ac:dyDescent="0.3">
      <c r="B8" s="130"/>
      <c r="C8" s="1583">
        <f>'I.Strategic Suitability'!B44</f>
        <v>4</v>
      </c>
      <c r="D8" s="17" t="str">
        <f>SuitabilityD</f>
        <v>Scoping of the project</v>
      </c>
      <c r="E8" s="150"/>
      <c r="F8" s="131"/>
      <c r="G8" s="1972">
        <v>5</v>
      </c>
      <c r="H8" s="1975"/>
      <c r="I8" s="120">
        <f>'Data Analysis'!K218/100</f>
        <v>0.25</v>
      </c>
      <c r="J8" s="22">
        <f>'Data Analysis'!M290</f>
        <v>5</v>
      </c>
      <c r="K8" s="22">
        <f>'Data Analysis'!N290</f>
        <v>1.25</v>
      </c>
      <c r="L8" s="131"/>
      <c r="M8" s="8"/>
      <c r="N8" s="9"/>
      <c r="P8" s="2487"/>
      <c r="Q8" s="2186" t="s">
        <v>525</v>
      </c>
      <c r="R8" s="2186"/>
      <c r="S8" s="2186"/>
      <c r="T8" s="2186"/>
      <c r="U8" s="2186"/>
      <c r="V8" s="2186"/>
    </row>
    <row r="9" spans="2:22" x14ac:dyDescent="0.3">
      <c r="B9" s="132" t="s">
        <v>175</v>
      </c>
      <c r="C9" s="421" t="str">
        <f>'Data Analysis'!C199</f>
        <v>Preliminary Feasibility</v>
      </c>
      <c r="D9" s="151"/>
      <c r="E9" s="1979"/>
      <c r="F9" s="18">
        <f>'Data Analysis'!G219/100</f>
        <v>0.3</v>
      </c>
      <c r="G9" s="1973"/>
      <c r="H9" s="1976"/>
      <c r="I9" s="134">
        <f>SUM(I5:I8)</f>
        <v>1</v>
      </c>
      <c r="J9" s="133"/>
      <c r="K9" s="133"/>
      <c r="L9" s="22">
        <f ca="1">'Data Analysis'!E350</f>
        <v>5</v>
      </c>
      <c r="M9" s="133"/>
      <c r="N9" s="135"/>
      <c r="P9" s="2487"/>
      <c r="Q9" s="2186"/>
      <c r="R9" s="2186"/>
      <c r="S9" s="2186"/>
      <c r="T9" s="2186"/>
      <c r="U9" s="2186"/>
      <c r="V9" s="2186"/>
    </row>
    <row r="10" spans="2:22" x14ac:dyDescent="0.3">
      <c r="B10" s="130"/>
      <c r="C10" s="1584">
        <v>1</v>
      </c>
      <c r="D10" s="150" t="str">
        <f>'II.Preliminary Feasibility'!D33</f>
        <v>Technical Prefeasibility</v>
      </c>
      <c r="E10" s="150"/>
      <c r="F10" s="131"/>
      <c r="G10" s="1972">
        <v>5</v>
      </c>
      <c r="H10" s="1975"/>
      <c r="I10" s="121">
        <f>'Data Analysis'!K220/100</f>
        <v>0.2</v>
      </c>
      <c r="J10" s="22">
        <f>'Data Analysis'!M301</f>
        <v>5</v>
      </c>
      <c r="K10" s="22">
        <f>'Data Analysis'!N301</f>
        <v>1</v>
      </c>
      <c r="L10" s="131"/>
      <c r="M10" s="8"/>
      <c r="N10" s="9"/>
      <c r="P10" s="2487"/>
      <c r="Q10" s="2186" t="s">
        <v>538</v>
      </c>
      <c r="R10" s="2186"/>
      <c r="S10" s="2186"/>
      <c r="T10" s="2186"/>
      <c r="U10" s="2186"/>
      <c r="V10" s="2186"/>
    </row>
    <row r="11" spans="2:22" ht="15" customHeight="1" x14ac:dyDescent="0.3">
      <c r="B11" s="130"/>
      <c r="C11" s="1584">
        <v>2</v>
      </c>
      <c r="D11" s="150" t="str">
        <f>'II.Preliminary Feasibility'!D42</f>
        <v>Environmental Sustainability</v>
      </c>
      <c r="E11" s="150"/>
      <c r="F11" s="131"/>
      <c r="G11" s="1972">
        <v>0</v>
      </c>
      <c r="H11" s="1975"/>
      <c r="I11" s="121">
        <f>'Data Analysis'!K221/100</f>
        <v>0.1</v>
      </c>
      <c r="J11" s="22">
        <f>'Data Analysis'!M311</f>
        <v>5</v>
      </c>
      <c r="K11" s="22">
        <f>'Data Analysis'!N310</f>
        <v>0.5</v>
      </c>
      <c r="L11" s="131"/>
      <c r="M11" s="8"/>
      <c r="N11" s="9"/>
      <c r="P11" s="2487"/>
      <c r="Q11" s="2186"/>
      <c r="R11" s="2186"/>
      <c r="S11" s="2186"/>
      <c r="T11" s="2186"/>
      <c r="U11" s="2186"/>
      <c r="V11" s="2186"/>
    </row>
    <row r="12" spans="2:22" x14ac:dyDescent="0.3">
      <c r="B12" s="130"/>
      <c r="C12" s="1584">
        <v>3</v>
      </c>
      <c r="D12" s="150" t="str">
        <f>'II.Preliminary Feasibility'!D50</f>
        <v>Social Sustainability</v>
      </c>
      <c r="E12" s="150"/>
      <c r="F12" s="131"/>
      <c r="G12" s="1972">
        <v>5</v>
      </c>
      <c r="H12" s="1975"/>
      <c r="I12" s="121">
        <f>'Data Analysis'!K222/100</f>
        <v>0.1</v>
      </c>
      <c r="J12" s="22">
        <f>'Data Analysis'!M318</f>
        <v>5</v>
      </c>
      <c r="K12" s="22">
        <f>'Data Analysis'!N318</f>
        <v>0.5</v>
      </c>
      <c r="L12" s="131"/>
      <c r="M12" s="8"/>
      <c r="N12" s="9"/>
      <c r="P12" s="2487"/>
      <c r="Q12" s="2186" t="s">
        <v>539</v>
      </c>
      <c r="R12" s="2186"/>
      <c r="S12" s="2186"/>
      <c r="T12" s="2186"/>
      <c r="U12" s="2186"/>
      <c r="V12" s="2186"/>
    </row>
    <row r="13" spans="2:22" x14ac:dyDescent="0.3">
      <c r="B13" s="130"/>
      <c r="C13" s="1584">
        <v>4</v>
      </c>
      <c r="D13" s="150" t="str">
        <f>'II.Preliminary Feasibility'!D59</f>
        <v>Economic Prefeasibility</v>
      </c>
      <c r="E13" s="150"/>
      <c r="F13" s="131"/>
      <c r="G13" s="1972">
        <v>5</v>
      </c>
      <c r="H13" s="1975"/>
      <c r="I13" s="121">
        <f>'Data Analysis'!K223/100</f>
        <v>0.1</v>
      </c>
      <c r="J13" s="22">
        <f>'Data Analysis'!M327</f>
        <v>5</v>
      </c>
      <c r="K13" s="22">
        <f>'Data Analysis'!N327</f>
        <v>0.5</v>
      </c>
      <c r="L13" s="131"/>
      <c r="M13" s="8"/>
      <c r="N13" s="9"/>
      <c r="P13" s="2487"/>
      <c r="Q13" s="2186"/>
      <c r="R13" s="2186"/>
      <c r="S13" s="2186"/>
      <c r="T13" s="2186"/>
      <c r="U13" s="2186"/>
      <c r="V13" s="2186"/>
    </row>
    <row r="14" spans="2:22" ht="15" customHeight="1" x14ac:dyDescent="0.3">
      <c r="B14" s="130"/>
      <c r="C14" s="1584">
        <v>5</v>
      </c>
      <c r="D14" s="150" t="str">
        <f>'II.Preliminary Feasibility'!D64</f>
        <v>Financial Prefeasibility</v>
      </c>
      <c r="E14" s="150"/>
      <c r="F14" s="131"/>
      <c r="G14" s="1972">
        <v>5</v>
      </c>
      <c r="H14" s="1975"/>
      <c r="I14" s="121">
        <f>'Data Analysis'!K224/100</f>
        <v>0.3</v>
      </c>
      <c r="J14" s="22">
        <f ca="1">'Data Analysis'!M333</f>
        <v>4.9999999999999991</v>
      </c>
      <c r="K14" s="22">
        <f ca="1">'Data Analysis'!N333</f>
        <v>1.4999999999999998</v>
      </c>
      <c r="L14" s="131"/>
      <c r="M14" s="8"/>
      <c r="N14" s="9"/>
      <c r="P14" s="2487"/>
      <c r="Q14" s="2186" t="s">
        <v>593</v>
      </c>
      <c r="R14" s="2186"/>
      <c r="S14" s="2186"/>
      <c r="T14" s="2186"/>
      <c r="U14" s="2186"/>
      <c r="V14" s="2186"/>
    </row>
    <row r="15" spans="2:22" x14ac:dyDescent="0.3">
      <c r="B15" s="130"/>
      <c r="C15" s="1584">
        <v>6</v>
      </c>
      <c r="D15" s="150" t="str">
        <f>'II.Preliminary Feasibility'!D75</f>
        <v>Legal Prefeasibility</v>
      </c>
      <c r="E15" s="150"/>
      <c r="F15" s="131"/>
      <c r="G15" s="1972">
        <v>80</v>
      </c>
      <c r="H15" s="1975"/>
      <c r="I15" s="121">
        <f>'Data Analysis'!K225/100</f>
        <v>0.2</v>
      </c>
      <c r="J15" s="22">
        <f>'Data Analysis'!M344</f>
        <v>5</v>
      </c>
      <c r="K15" s="22">
        <f>'Data Analysis'!N344</f>
        <v>1</v>
      </c>
      <c r="L15" s="131"/>
      <c r="M15" s="8"/>
      <c r="N15" s="9"/>
      <c r="P15" s="2487"/>
      <c r="Q15" s="2186"/>
      <c r="R15" s="2186"/>
      <c r="S15" s="2186"/>
      <c r="T15" s="2186"/>
      <c r="U15" s="2186"/>
      <c r="V15" s="2186"/>
    </row>
    <row r="16" spans="2:22" x14ac:dyDescent="0.3">
      <c r="B16" s="136" t="s">
        <v>176</v>
      </c>
      <c r="C16" s="422" t="str">
        <f>'Data Analysis'!C200</f>
        <v>Risk Assessment</v>
      </c>
      <c r="D16" s="152"/>
      <c r="E16" s="1979"/>
      <c r="F16" s="19">
        <f>'Data Analysis'!G226/100</f>
        <v>0.2</v>
      </c>
      <c r="G16" s="19"/>
      <c r="H16" s="1976"/>
      <c r="I16" s="19">
        <f>SUM(I10:I15)</f>
        <v>1</v>
      </c>
      <c r="J16" s="115"/>
      <c r="K16" s="115"/>
      <c r="L16" s="22">
        <f>'Data Analysis'!E413</f>
        <v>5</v>
      </c>
      <c r="M16" s="115"/>
      <c r="N16" s="137"/>
      <c r="P16" s="2487"/>
      <c r="Q16" s="2186"/>
      <c r="R16" s="2186"/>
      <c r="S16" s="2186"/>
      <c r="T16" s="2186"/>
      <c r="U16" s="2186"/>
      <c r="V16" s="2186"/>
    </row>
    <row r="17" spans="2:23" x14ac:dyDescent="0.3">
      <c r="B17" s="138"/>
      <c r="C17" s="1584">
        <v>1</v>
      </c>
      <c r="D17" s="153" t="str">
        <f>IF('Data Analysis'!C357=0,"Not Applicable",'Data Analysis'!W356)</f>
        <v>Risk of delay in land acquisition</v>
      </c>
      <c r="E17" s="154"/>
      <c r="F17" s="131"/>
      <c r="G17" s="1972">
        <v>5</v>
      </c>
      <c r="H17" s="1975"/>
      <c r="I17" s="121">
        <f>'Data Analysis'!K227/100</f>
        <v>0.125</v>
      </c>
      <c r="J17" s="22">
        <f>'Data Analysis'!M356</f>
        <v>4.9999999999999991</v>
      </c>
      <c r="K17" s="22">
        <f>'Data Analysis'!N356</f>
        <v>0.62499999999999989</v>
      </c>
      <c r="L17" s="131"/>
      <c r="M17" s="8"/>
      <c r="N17" s="9"/>
      <c r="P17" s="2487"/>
      <c r="Q17" s="2186"/>
      <c r="R17" s="2186"/>
      <c r="S17" s="2186"/>
      <c r="T17" s="2186"/>
      <c r="U17" s="2186"/>
      <c r="V17" s="2186"/>
    </row>
    <row r="18" spans="2:23" x14ac:dyDescent="0.3">
      <c r="B18" s="138"/>
      <c r="C18" s="1584">
        <f t="shared" ref="C18:C24" si="0">C17+1</f>
        <v>2</v>
      </c>
      <c r="D18" s="153" t="str">
        <f>IF('Data Analysis'!C366=0,"Not Applicable",'Data Analysis'!W357)</f>
        <v>Financing Risk</v>
      </c>
      <c r="E18" s="154"/>
      <c r="F18" s="131"/>
      <c r="G18" s="1972">
        <v>5</v>
      </c>
      <c r="H18" s="1975"/>
      <c r="I18" s="121">
        <f>'Data Analysis'!K228/100</f>
        <v>0.125</v>
      </c>
      <c r="J18" s="22">
        <f>'Data Analysis'!M365</f>
        <v>5</v>
      </c>
      <c r="K18" s="22">
        <f>'Data Analysis'!N365</f>
        <v>0.625</v>
      </c>
      <c r="L18" s="131"/>
      <c r="M18" s="8"/>
      <c r="N18" s="9"/>
      <c r="P18" s="47"/>
      <c r="Q18" s="47"/>
      <c r="R18" s="47"/>
      <c r="S18" s="47"/>
      <c r="T18" s="47"/>
      <c r="U18" s="47"/>
      <c r="V18" s="47"/>
    </row>
    <row r="19" spans="2:23" x14ac:dyDescent="0.3">
      <c r="B19" s="138"/>
      <c r="C19" s="1584">
        <f t="shared" si="0"/>
        <v>3</v>
      </c>
      <c r="D19" s="153" t="str">
        <f>IF('Data Analysis'!C372=0,"Not Applicable",'Data Analysis'!W358)</f>
        <v xml:space="preserve">Design and Construction Risk </v>
      </c>
      <c r="E19" s="154"/>
      <c r="F19" s="131"/>
      <c r="G19" s="1972">
        <v>5</v>
      </c>
      <c r="H19" s="1975"/>
      <c r="I19" s="121">
        <f>'Data Analysis'!K229/100</f>
        <v>0.125</v>
      </c>
      <c r="J19" s="22">
        <f>'Data Analysis'!M371</f>
        <v>4.9999999999999991</v>
      </c>
      <c r="K19" s="22">
        <f>'Data Analysis'!N371</f>
        <v>0.62499999999999989</v>
      </c>
      <c r="L19" s="131"/>
      <c r="M19" s="8"/>
      <c r="N19" s="9"/>
      <c r="P19" s="47"/>
      <c r="Q19" s="47"/>
      <c r="R19" s="47"/>
      <c r="S19" s="47"/>
      <c r="T19" s="47"/>
      <c r="U19" s="47"/>
      <c r="V19" s="47"/>
    </row>
    <row r="20" spans="2:23" s="47" customFormat="1" x14ac:dyDescent="0.3">
      <c r="B20" s="138"/>
      <c r="C20" s="1584">
        <f t="shared" si="0"/>
        <v>4</v>
      </c>
      <c r="D20" s="153" t="str">
        <f>IF('Data Analysis'!C380=0,"Not Applicable",'Data Analysis'!W359)</f>
        <v>Operations and Maintenance Risk</v>
      </c>
      <c r="E20" s="150"/>
      <c r="F20" s="131"/>
      <c r="G20" s="1972">
        <v>5</v>
      </c>
      <c r="H20" s="1975"/>
      <c r="I20" s="121">
        <f>'Data Analysis'!K230/100</f>
        <v>0.125</v>
      </c>
      <c r="J20" s="22">
        <f>'Data Analysis'!M379</f>
        <v>5</v>
      </c>
      <c r="K20" s="22">
        <f>'Data Analysis'!N379</f>
        <v>0.625</v>
      </c>
      <c r="L20" s="131"/>
      <c r="M20" s="8"/>
      <c r="N20" s="9"/>
      <c r="O20" s="2058"/>
    </row>
    <row r="21" spans="2:23" s="47" customFormat="1" x14ac:dyDescent="0.3">
      <c r="B21" s="138"/>
      <c r="C21" s="1584">
        <f t="shared" si="0"/>
        <v>5</v>
      </c>
      <c r="D21" s="153" t="str">
        <f>IF('Data Analysis'!C385=0,"Not Applicable",'Data Analysis'!W360)</f>
        <v>Market Risk and Demand Risk</v>
      </c>
      <c r="E21" s="150"/>
      <c r="F21" s="131"/>
      <c r="G21" s="1972">
        <v>5</v>
      </c>
      <c r="H21" s="1975"/>
      <c r="I21" s="121">
        <f>'Data Analysis'!K231/100</f>
        <v>0.125</v>
      </c>
      <c r="J21" s="22">
        <f>'Data Analysis'!M384</f>
        <v>4.9999999999999991</v>
      </c>
      <c r="K21" s="22">
        <f>'Data Analysis'!N384</f>
        <v>0.62499999999999989</v>
      </c>
      <c r="L21" s="131"/>
      <c r="M21" s="8"/>
      <c r="N21" s="9"/>
    </row>
    <row r="22" spans="2:23" s="47" customFormat="1" x14ac:dyDescent="0.3">
      <c r="B22" s="138"/>
      <c r="C22" s="1584">
        <f t="shared" si="0"/>
        <v>6</v>
      </c>
      <c r="D22" s="1003" t="str">
        <f>IF('Data Analysis'!C393=0,"Not Applicable",'Data Analysis'!W361)</f>
        <v>Off Taker Risk</v>
      </c>
      <c r="E22" s="150"/>
      <c r="F22" s="131"/>
      <c r="G22" s="1972">
        <v>30</v>
      </c>
      <c r="H22" s="1975"/>
      <c r="I22" s="121">
        <f>'Data Analysis'!K232/100</f>
        <v>0.125</v>
      </c>
      <c r="J22" s="22">
        <f>'Data Analysis'!M392</f>
        <v>5</v>
      </c>
      <c r="K22" s="22">
        <f>'Data Analysis'!N392</f>
        <v>0.625</v>
      </c>
      <c r="L22" s="131"/>
      <c r="M22" s="8"/>
      <c r="N22" s="9"/>
    </row>
    <row r="23" spans="2:23" s="47" customFormat="1" x14ac:dyDescent="0.3">
      <c r="B23" s="138"/>
      <c r="C23" s="1584">
        <f t="shared" si="0"/>
        <v>7</v>
      </c>
      <c r="D23" s="153" t="str">
        <f>IF('Data Analysis'!C399=0,"Not Applicable",'Data Analysis'!W362)</f>
        <v>Foreign Exchange Risk</v>
      </c>
      <c r="E23" s="150"/>
      <c r="F23" s="131"/>
      <c r="G23" s="1972">
        <v>10</v>
      </c>
      <c r="H23" s="1975"/>
      <c r="I23" s="121">
        <f>'Data Analysis'!K233/100</f>
        <v>0.125</v>
      </c>
      <c r="J23" s="22">
        <f>'Data Analysis'!M398</f>
        <v>5</v>
      </c>
      <c r="K23" s="22">
        <f>'Data Analysis'!N398</f>
        <v>0.625</v>
      </c>
      <c r="L23" s="131"/>
      <c r="M23" s="8"/>
      <c r="N23" s="9"/>
    </row>
    <row r="24" spans="2:23" s="47" customFormat="1" x14ac:dyDescent="0.3">
      <c r="B24" s="138"/>
      <c r="C24" s="1584">
        <f t="shared" si="0"/>
        <v>8</v>
      </c>
      <c r="D24" s="1003" t="str">
        <f>IF('Data Analysis'!C406=0,"Not Applicable",'Data Analysis'!W363)</f>
        <v>Environmental and Social Risk</v>
      </c>
      <c r="E24" s="150"/>
      <c r="F24" s="131"/>
      <c r="G24" s="1972">
        <v>20</v>
      </c>
      <c r="H24" s="1975"/>
      <c r="I24" s="121">
        <f>'Data Analysis'!K234/100</f>
        <v>0.125</v>
      </c>
      <c r="J24" s="22">
        <f>'Data Analysis'!M405</f>
        <v>5</v>
      </c>
      <c r="K24" s="22">
        <f>'Data Analysis'!N405</f>
        <v>0.625</v>
      </c>
      <c r="L24" s="131"/>
      <c r="M24" s="8"/>
      <c r="N24" s="9"/>
    </row>
    <row r="25" spans="2:23" s="47" customFormat="1" x14ac:dyDescent="0.3">
      <c r="B25" s="139" t="s">
        <v>208</v>
      </c>
      <c r="C25" s="423" t="str">
        <f>'Data Analysis'!C201</f>
        <v>PPP Suitability</v>
      </c>
      <c r="D25" s="155"/>
      <c r="E25" s="1979"/>
      <c r="F25" s="117">
        <f>'Data Analysis'!G235/100</f>
        <v>0.1</v>
      </c>
      <c r="G25" s="1973"/>
      <c r="H25" s="1976"/>
      <c r="I25" s="117">
        <f>SUM(I17:I24)</f>
        <v>1</v>
      </c>
      <c r="J25" s="140"/>
      <c r="K25" s="140"/>
      <c r="L25" s="118">
        <f>'Data Analysis'!E437</f>
        <v>5</v>
      </c>
      <c r="M25" s="140"/>
      <c r="N25" s="160"/>
    </row>
    <row r="26" spans="2:23" s="47" customFormat="1" x14ac:dyDescent="0.3">
      <c r="B26" s="138"/>
      <c r="C26" s="1584">
        <v>1</v>
      </c>
      <c r="D26" s="150" t="str">
        <f>'IV.PPP Suitability'!D31</f>
        <v>Value for Money</v>
      </c>
      <c r="E26" s="150"/>
      <c r="F26" s="131"/>
      <c r="G26" s="1972">
        <v>5</v>
      </c>
      <c r="H26" s="1975"/>
      <c r="I26" s="121">
        <f>'Data Analysis'!K236/100</f>
        <v>0.6</v>
      </c>
      <c r="J26" s="22">
        <f>'Data Analysis'!M419</f>
        <v>4.9999999999999991</v>
      </c>
      <c r="K26" s="22">
        <f>'Data Analysis'!N419</f>
        <v>2.9999999999999996</v>
      </c>
      <c r="L26" s="131"/>
      <c r="M26" s="8"/>
      <c r="N26" s="9"/>
    </row>
    <row r="27" spans="2:23" s="47" customFormat="1" x14ac:dyDescent="0.3">
      <c r="B27" s="138"/>
      <c r="C27" s="1584">
        <v>2</v>
      </c>
      <c r="D27" s="150" t="str">
        <f>'IV.PPP Suitability'!D43</f>
        <v>Market appetite</v>
      </c>
      <c r="E27" s="150"/>
      <c r="F27" s="131"/>
      <c r="G27" s="1972">
        <v>29</v>
      </c>
      <c r="H27" s="1975"/>
      <c r="I27" s="121">
        <f>'Data Analysis'!K237/100</f>
        <v>0.4</v>
      </c>
      <c r="J27" s="22">
        <f>'Data Analysis'!M431</f>
        <v>5</v>
      </c>
      <c r="K27" s="22">
        <f>'Data Analysis'!N431</f>
        <v>2</v>
      </c>
      <c r="L27" s="131"/>
      <c r="M27" s="8"/>
      <c r="N27" s="9"/>
    </row>
    <row r="28" spans="2:23" x14ac:dyDescent="0.3">
      <c r="B28" s="141" t="s">
        <v>209</v>
      </c>
      <c r="C28" s="424" t="str">
        <f>'Data Analysis'!C202</f>
        <v>Govt’s Fiscal Affordability</v>
      </c>
      <c r="D28" s="156"/>
      <c r="E28" s="1979"/>
      <c r="F28" s="20">
        <f>'Data Analysis'!G239/100</f>
        <v>0.2</v>
      </c>
      <c r="G28" s="1434"/>
      <c r="H28" s="1976"/>
      <c r="I28" s="20">
        <f>SUM(I26:I27)</f>
        <v>1</v>
      </c>
      <c r="J28" s="142"/>
      <c r="K28" s="142"/>
      <c r="L28" s="22">
        <f>'Data Analysis'!E457</f>
        <v>4.1959999999999997</v>
      </c>
      <c r="M28" s="142"/>
      <c r="N28" s="143"/>
      <c r="P28" s="47"/>
      <c r="Q28" s="47"/>
      <c r="R28" s="47"/>
      <c r="S28" s="47"/>
      <c r="T28" s="47"/>
      <c r="U28" s="47"/>
      <c r="V28" s="47"/>
    </row>
    <row r="29" spans="2:23" x14ac:dyDescent="0.3">
      <c r="B29" s="138"/>
      <c r="C29" s="1584">
        <v>1</v>
      </c>
      <c r="D29" s="150" t="str">
        <f>'V.Fiscal Affordability'!E33</f>
        <v>Extent and Nature of Government Fiscal Support</v>
      </c>
      <c r="E29" s="154"/>
      <c r="F29" s="131"/>
      <c r="G29" s="1972">
        <v>5</v>
      </c>
      <c r="H29" s="1975"/>
      <c r="I29" s="121">
        <f>'Data Analysis'!K240/100</f>
        <v>0.4</v>
      </c>
      <c r="J29" s="22">
        <f>'Data Analysis'!M445</f>
        <v>5</v>
      </c>
      <c r="K29" s="22">
        <f>'Data Analysis'!N445</f>
        <v>2</v>
      </c>
      <c r="L29" s="131"/>
      <c r="M29" s="8"/>
      <c r="N29" s="9"/>
      <c r="P29" s="47"/>
      <c r="Q29" s="47"/>
      <c r="R29" s="47"/>
      <c r="S29" s="47"/>
      <c r="T29" s="47"/>
      <c r="U29" s="47"/>
      <c r="V29" s="47"/>
    </row>
    <row r="30" spans="2:23" x14ac:dyDescent="0.3">
      <c r="B30" s="138"/>
      <c r="C30" s="1584">
        <v>2</v>
      </c>
      <c r="D30" s="150" t="str">
        <f>'V.Fiscal Affordability'!E39</f>
        <v>Quantification of Fiscal Support</v>
      </c>
      <c r="E30" s="154"/>
      <c r="F30" s="131"/>
      <c r="G30" s="1972">
        <v>41</v>
      </c>
      <c r="H30" s="1975"/>
      <c r="I30" s="121">
        <f>'Data Analysis'!K241/100</f>
        <v>0.6</v>
      </c>
      <c r="J30" s="22">
        <f>'Data Analysis'!M451</f>
        <v>3.66</v>
      </c>
      <c r="K30" s="22">
        <f>'Data Analysis'!N451</f>
        <v>2.1960000000000002</v>
      </c>
      <c r="L30" s="131"/>
      <c r="M30" s="8"/>
      <c r="N30" s="9"/>
      <c r="P30" s="47"/>
      <c r="Q30" s="47"/>
      <c r="R30" s="47"/>
      <c r="S30" s="47"/>
      <c r="T30" s="47"/>
      <c r="U30" s="47"/>
      <c r="V30" s="47"/>
      <c r="W30" s="47"/>
    </row>
    <row r="31" spans="2:23" x14ac:dyDescent="0.3">
      <c r="B31" s="144" t="s">
        <v>249</v>
      </c>
      <c r="C31" s="425" t="str">
        <f>'Data Analysis'!C203</f>
        <v>Govt’s institutional Capability</v>
      </c>
      <c r="D31" s="157"/>
      <c r="E31" s="1979"/>
      <c r="F31" s="21">
        <f>'Data Analysis'!G242/100</f>
        <v>0.1</v>
      </c>
      <c r="G31" s="21"/>
      <c r="H31" s="1976"/>
      <c r="I31" s="21">
        <f>SUM(I29:I30)</f>
        <v>1</v>
      </c>
      <c r="J31" s="145"/>
      <c r="K31" s="145"/>
      <c r="L31" s="22">
        <f>'Data Analysis'!E498</f>
        <v>5.0000000000000009</v>
      </c>
      <c r="M31" s="145"/>
      <c r="N31" s="146"/>
      <c r="P31" s="47"/>
      <c r="Q31" s="47"/>
      <c r="R31" s="47"/>
      <c r="S31" s="47"/>
      <c r="T31" s="47"/>
      <c r="U31" s="47"/>
      <c r="V31" s="47"/>
      <c r="W31" s="47"/>
    </row>
    <row r="32" spans="2:23" x14ac:dyDescent="0.3">
      <c r="B32" s="138"/>
      <c r="C32" s="1584">
        <v>1</v>
      </c>
      <c r="D32" s="150" t="str">
        <f>'VI.Institutional Capability'!D29</f>
        <v>Institutional Capacity</v>
      </c>
      <c r="E32" s="154"/>
      <c r="F32" s="131"/>
      <c r="G32" s="1972">
        <v>36</v>
      </c>
      <c r="H32" s="1975"/>
      <c r="I32" s="121">
        <f>'Data Analysis'!K243/100</f>
        <v>0.33333333333333337</v>
      </c>
      <c r="J32" s="22">
        <f>'Data Analysis'!M479</f>
        <v>5</v>
      </c>
      <c r="K32" s="22">
        <f>'Data Analysis'!N479</f>
        <v>1.666666666666667</v>
      </c>
      <c r="L32" s="131"/>
      <c r="M32" s="8"/>
      <c r="N32" s="9"/>
      <c r="P32" s="47"/>
      <c r="Q32" s="47"/>
      <c r="R32" s="47"/>
      <c r="S32" s="47"/>
      <c r="T32" s="47"/>
      <c r="U32" s="47"/>
      <c r="V32" s="47"/>
      <c r="W32" s="47"/>
    </row>
    <row r="33" spans="1:39" x14ac:dyDescent="0.3">
      <c r="B33" s="138"/>
      <c r="C33" s="1584">
        <v>2</v>
      </c>
      <c r="D33" s="150" t="str">
        <f>'VI.Institutional Capability'!D35</f>
        <v>Preparedness of the Contracting Agency for the Project</v>
      </c>
      <c r="E33" s="154"/>
      <c r="F33" s="131"/>
      <c r="G33" s="1972">
        <v>5</v>
      </c>
      <c r="H33" s="1975"/>
      <c r="I33" s="121">
        <f>'Data Analysis'!K244/100</f>
        <v>0.33333333333333337</v>
      </c>
      <c r="J33" s="22">
        <f>'Data Analysis'!M485</f>
        <v>5</v>
      </c>
      <c r="K33" s="22">
        <f>'Data Analysis'!N485</f>
        <v>1.666666666666667</v>
      </c>
      <c r="L33" s="131"/>
      <c r="M33" s="8"/>
      <c r="N33" s="9"/>
    </row>
    <row r="34" spans="1:39" ht="15" thickBot="1" x14ac:dyDescent="0.35">
      <c r="B34" s="147"/>
      <c r="C34" s="1585">
        <v>3</v>
      </c>
      <c r="D34" s="158" t="str">
        <f>'VI.Institutional Capability'!D42</f>
        <v>Project Execution Capability of the Contracting Agency</v>
      </c>
      <c r="E34" s="159"/>
      <c r="F34" s="148"/>
      <c r="G34" s="1972">
        <v>6</v>
      </c>
      <c r="H34" s="1977"/>
      <c r="I34" s="122">
        <f>'Data Analysis'!K245/100</f>
        <v>0.33333333333333337</v>
      </c>
      <c r="J34" s="40">
        <f>'Data Analysis'!M492</f>
        <v>5</v>
      </c>
      <c r="K34" s="40">
        <f>'Data Analysis'!N492</f>
        <v>1.666666666666667</v>
      </c>
      <c r="L34" s="148"/>
      <c r="M34" s="46"/>
      <c r="N34" s="44"/>
      <c r="AI34" s="12">
        <v>0</v>
      </c>
      <c r="AM34" s="12" t="b">
        <v>0</v>
      </c>
    </row>
    <row r="35" spans="1:39" x14ac:dyDescent="0.3">
      <c r="B35" s="119"/>
      <c r="C35" s="119"/>
      <c r="D35" s="119"/>
      <c r="E35" s="119"/>
      <c r="F35" s="119"/>
      <c r="G35" s="119"/>
      <c r="H35" s="119"/>
      <c r="I35" s="149">
        <f>SUM(I32:I34)</f>
        <v>1</v>
      </c>
      <c r="J35" s="119"/>
      <c r="K35" s="119"/>
      <c r="L35" s="119"/>
      <c r="M35" s="119"/>
      <c r="N35" s="119"/>
    </row>
    <row r="36" spans="1:39" ht="15" thickBot="1" x14ac:dyDescent="0.35">
      <c r="B36" s="47"/>
      <c r="C36" s="47"/>
      <c r="D36" s="47"/>
      <c r="E36" s="47"/>
      <c r="F36" s="47"/>
      <c r="H36" s="47"/>
      <c r="I36" s="47"/>
      <c r="J36" s="47"/>
      <c r="K36" s="47"/>
      <c r="L36" s="47"/>
      <c r="M36" s="47"/>
      <c r="N36" s="47"/>
      <c r="O36" s="47"/>
    </row>
    <row r="37" spans="1:39" ht="15.75" customHeight="1" x14ac:dyDescent="0.3">
      <c r="B37" s="736" t="s">
        <v>31</v>
      </c>
      <c r="C37" s="737" t="s">
        <v>348</v>
      </c>
      <c r="D37" s="737"/>
      <c r="E37" s="737"/>
      <c r="F37" s="737"/>
      <c r="G37" s="737"/>
      <c r="H37" s="737"/>
      <c r="I37" s="737"/>
      <c r="J37" s="737"/>
      <c r="K37" s="737"/>
      <c r="L37" s="738"/>
      <c r="M37" s="738"/>
      <c r="N37" s="756" t="s">
        <v>342</v>
      </c>
      <c r="P37" s="2484" t="s">
        <v>67</v>
      </c>
      <c r="Q37" s="2485" t="s">
        <v>527</v>
      </c>
      <c r="R37" s="2485"/>
      <c r="S37" s="2485"/>
      <c r="T37" s="2485"/>
      <c r="U37" s="2485"/>
      <c r="V37" s="123"/>
    </row>
    <row r="38" spans="1:39" ht="29.25" customHeight="1" x14ac:dyDescent="0.3">
      <c r="B38" s="1374">
        <f>'Data Analysis'!B249</f>
        <v>1</v>
      </c>
      <c r="C38" s="2435" t="str">
        <f>'Data Analysis'!C249</f>
        <v>Is the project derived from a national plan or other medium- to long-term strategic document that establishes the development priorities at the highest levels of the government?</v>
      </c>
      <c r="D38" s="2435"/>
      <c r="E38" s="2435"/>
      <c r="F38" s="2435"/>
      <c r="G38" s="2435"/>
      <c r="H38" s="2435"/>
      <c r="I38" s="2435"/>
      <c r="J38" s="2435"/>
      <c r="K38" s="2435"/>
      <c r="L38" s="2435"/>
      <c r="M38" s="1376"/>
      <c r="N38" s="1980"/>
      <c r="P38" s="2484"/>
      <c r="Q38" s="2485"/>
      <c r="R38" s="2485"/>
      <c r="S38" s="2485"/>
      <c r="T38" s="2485"/>
      <c r="U38" s="2485"/>
      <c r="V38" s="123"/>
    </row>
    <row r="39" spans="1:39" ht="15" customHeight="1" x14ac:dyDescent="0.3">
      <c r="B39" s="1374">
        <f>'Data Analysis'!B250</f>
        <v>2</v>
      </c>
      <c r="C39" s="2428" t="str">
        <f>'Data Analysis'!C250</f>
        <v>Is the project likely to be economically sound and have direct benefits that are significantly greater than the costs?</v>
      </c>
      <c r="D39" s="2428"/>
      <c r="E39" s="2428"/>
      <c r="F39" s="2428"/>
      <c r="G39" s="2428"/>
      <c r="H39" s="2428"/>
      <c r="I39" s="2428"/>
      <c r="J39" s="2428"/>
      <c r="K39" s="2428"/>
      <c r="L39" s="2428"/>
      <c r="M39" s="1377"/>
      <c r="N39" s="1980"/>
      <c r="P39" s="2484"/>
      <c r="Q39" s="2186" t="s">
        <v>347</v>
      </c>
      <c r="R39" s="2186"/>
      <c r="S39" s="2186"/>
      <c r="T39" s="2186"/>
      <c r="U39" s="2186"/>
      <c r="V39" s="123"/>
      <c r="W39" s="47"/>
    </row>
    <row r="40" spans="1:39" ht="15" customHeight="1" thickBot="1" x14ac:dyDescent="0.35">
      <c r="B40" s="1374">
        <f>'Data Analysis'!B251</f>
        <v>3</v>
      </c>
      <c r="C40" s="2428" t="str">
        <f>'Data Analysis'!C251</f>
        <v>Do sector laws, regulations or policies allow private sector participation in the project?</v>
      </c>
      <c r="D40" s="2428"/>
      <c r="E40" s="2428"/>
      <c r="F40" s="2428"/>
      <c r="G40" s="2428"/>
      <c r="H40" s="2428"/>
      <c r="I40" s="2428"/>
      <c r="J40" s="2428"/>
      <c r="K40" s="2428"/>
      <c r="L40" s="2428"/>
      <c r="M40" s="1378"/>
      <c r="N40" s="1980"/>
      <c r="P40" s="2484"/>
      <c r="Q40" s="2186"/>
      <c r="R40" s="2186"/>
      <c r="S40" s="2186"/>
      <c r="T40" s="2186"/>
      <c r="U40" s="2186"/>
      <c r="V40" s="123"/>
      <c r="W40" s="47"/>
    </row>
    <row r="41" spans="1:39" ht="15" customHeight="1" x14ac:dyDescent="0.3">
      <c r="B41" s="736" t="s">
        <v>31</v>
      </c>
      <c r="C41" s="737" t="s">
        <v>349</v>
      </c>
      <c r="D41" s="737"/>
      <c r="E41" s="737"/>
      <c r="F41" s="737"/>
      <c r="G41" s="737"/>
      <c r="H41" s="737"/>
      <c r="I41" s="737"/>
      <c r="J41" s="737"/>
      <c r="K41" s="737"/>
      <c r="L41" s="737"/>
      <c r="M41" s="737"/>
      <c r="N41" s="756" t="s">
        <v>342</v>
      </c>
      <c r="Q41" s="123"/>
      <c r="R41" s="123"/>
      <c r="S41" s="123"/>
      <c r="T41" s="123"/>
      <c r="U41" s="123"/>
      <c r="V41" s="123"/>
      <c r="W41" s="47"/>
    </row>
    <row r="42" spans="1:39" s="245" customFormat="1" ht="15" customHeight="1" x14ac:dyDescent="0.3">
      <c r="A42" s="47"/>
      <c r="B42" s="1374">
        <f>'Data Analysis'!B253</f>
        <v>1</v>
      </c>
      <c r="C42" s="2428" t="str">
        <f>'Data Analysis'!C253</f>
        <v>Is there a clear articulation and substantiation of the service deficiency?</v>
      </c>
      <c r="D42" s="2428"/>
      <c r="E42" s="2428"/>
      <c r="F42" s="2428"/>
      <c r="G42" s="2428"/>
      <c r="H42" s="2428"/>
      <c r="I42" s="2428"/>
      <c r="J42" s="2428"/>
      <c r="K42" s="2428"/>
      <c r="L42" s="2428"/>
      <c r="M42" s="2428"/>
      <c r="N42" s="1981"/>
      <c r="Q42" s="123"/>
      <c r="R42" s="123"/>
      <c r="S42" s="123"/>
      <c r="T42" s="123"/>
      <c r="U42" s="123"/>
      <c r="V42" s="123"/>
    </row>
    <row r="43" spans="1:39" s="245" customFormat="1" ht="15" customHeight="1" x14ac:dyDescent="0.3">
      <c r="A43" s="47"/>
      <c r="B43" s="1374">
        <f>'Data Analysis'!B254</f>
        <v>2</v>
      </c>
      <c r="C43" s="2428" t="str">
        <f>'Data Analysis'!C254</f>
        <v>Has there been an assessment of all possible technical solutions to address the identified need?</v>
      </c>
      <c r="D43" s="2428"/>
      <c r="E43" s="2428"/>
      <c r="F43" s="2428"/>
      <c r="G43" s="2428"/>
      <c r="H43" s="2428"/>
      <c r="I43" s="2428"/>
      <c r="J43" s="2428"/>
      <c r="K43" s="2428"/>
      <c r="L43" s="2428"/>
      <c r="M43" s="2428"/>
      <c r="N43" s="1981"/>
    </row>
    <row r="44" spans="1:39" s="245" customFormat="1" ht="15" customHeight="1" x14ac:dyDescent="0.3">
      <c r="A44" s="47"/>
      <c r="B44" s="1374">
        <f>'Data Analysis'!B255</f>
        <v>3</v>
      </c>
      <c r="C44" s="2428" t="str">
        <f>'Data Analysis'!C255</f>
        <v>Are the technical cost estimates in line with required output specifications and based on established benchmarks?</v>
      </c>
      <c r="D44" s="2428"/>
      <c r="E44" s="2428"/>
      <c r="F44" s="2428"/>
      <c r="G44" s="2428"/>
      <c r="H44" s="2428"/>
      <c r="I44" s="2428"/>
      <c r="J44" s="2428"/>
      <c r="K44" s="2428"/>
      <c r="L44" s="2428"/>
      <c r="M44" s="2428"/>
      <c r="N44" s="1981"/>
    </row>
    <row r="45" spans="1:39" s="245" customFormat="1" ht="15" customHeight="1" x14ac:dyDescent="0.3">
      <c r="A45" s="47"/>
      <c r="B45" s="1374">
        <f>'Data Analysis'!B256</f>
        <v>4</v>
      </c>
      <c r="C45" s="2428" t="str">
        <f>'Data Analysis'!C256</f>
        <v xml:space="preserve">Is the proposed site location adequately accessible and offers manageable challenges during construction?  </v>
      </c>
      <c r="D45" s="2428"/>
      <c r="E45" s="2428"/>
      <c r="F45" s="2428"/>
      <c r="G45" s="2428"/>
      <c r="H45" s="2428"/>
      <c r="I45" s="2428"/>
      <c r="J45" s="2428"/>
      <c r="K45" s="2428"/>
      <c r="L45" s="2428"/>
      <c r="M45" s="2428"/>
      <c r="N45" s="1981"/>
    </row>
    <row r="46" spans="1:39" s="245" customFormat="1" ht="15" customHeight="1" x14ac:dyDescent="0.3">
      <c r="A46" s="47"/>
      <c r="B46" s="1374">
        <f>'Data Analysis'!B257</f>
        <v>5</v>
      </c>
      <c r="C46" s="2428" t="str">
        <f>'Data Analysis'!C257</f>
        <v xml:space="preserve">The project will not have a negative impact on any natural resources or protected land.   </v>
      </c>
      <c r="D46" s="2428"/>
      <c r="E46" s="2428"/>
      <c r="F46" s="2428"/>
      <c r="G46" s="2428"/>
      <c r="H46" s="2428"/>
      <c r="I46" s="2428"/>
      <c r="J46" s="2428"/>
      <c r="K46" s="2428"/>
      <c r="L46" s="2428"/>
      <c r="M46" s="2428"/>
      <c r="N46" s="1981"/>
    </row>
    <row r="47" spans="1:39" s="245" customFormat="1" ht="15" customHeight="1" x14ac:dyDescent="0.3">
      <c r="A47" s="47"/>
      <c r="B47" s="1374">
        <f>'Data Analysis'!B258</f>
        <v>6</v>
      </c>
      <c r="C47" s="2428" t="str">
        <f>'Data Analysis'!C258</f>
        <v>The project is likely to be socially sustainable or have manageable social impacts?</v>
      </c>
      <c r="D47" s="2428"/>
      <c r="E47" s="2428"/>
      <c r="F47" s="2428"/>
      <c r="G47" s="2428"/>
      <c r="H47" s="2428"/>
      <c r="I47" s="2428"/>
      <c r="J47" s="2428"/>
      <c r="K47" s="2428"/>
      <c r="L47" s="2428"/>
      <c r="M47" s="2428"/>
      <c r="N47" s="1981"/>
    </row>
    <row r="48" spans="1:39" s="245" customFormat="1" ht="15" customHeight="1" x14ac:dyDescent="0.3">
      <c r="A48" s="47"/>
      <c r="B48" s="1374">
        <f>'Data Analysis'!B259</f>
        <v>7</v>
      </c>
      <c r="C48" s="2428" t="str">
        <f>'Data Analysis'!C259</f>
        <v>Is there support for the project from affected communities and other key stakeholders?</v>
      </c>
      <c r="D48" s="2428"/>
      <c r="E48" s="2428"/>
      <c r="F48" s="2428"/>
      <c r="G48" s="2428"/>
      <c r="H48" s="2428"/>
      <c r="I48" s="2428"/>
      <c r="J48" s="2428"/>
      <c r="K48" s="2428"/>
      <c r="L48" s="2428"/>
      <c r="M48" s="2428"/>
      <c r="N48" s="1981"/>
    </row>
    <row r="49" spans="1:21" s="245" customFormat="1" x14ac:dyDescent="0.3">
      <c r="A49" s="13"/>
      <c r="B49" s="1374">
        <f>'Data Analysis'!B260</f>
        <v>8</v>
      </c>
      <c r="C49" s="2428" t="str">
        <f>'Data Analysis'!C260</f>
        <v>Is the collective impact of fiscal commitments likely to be within acceptable levels and not have a significant adverse impact on government's future budgets or fiscal space?</v>
      </c>
      <c r="D49" s="2428"/>
      <c r="E49" s="2428"/>
      <c r="F49" s="2428"/>
      <c r="G49" s="2428"/>
      <c r="H49" s="2428"/>
      <c r="I49" s="2428"/>
      <c r="J49" s="2428"/>
      <c r="K49" s="2428"/>
      <c r="L49" s="2428"/>
      <c r="M49" s="2428"/>
      <c r="N49" s="1981"/>
    </row>
    <row r="50" spans="1:21" s="245" customFormat="1" x14ac:dyDescent="0.3">
      <c r="A50" s="13"/>
      <c r="B50" s="1374">
        <f>'Data Analysis'!B261</f>
        <v>9</v>
      </c>
      <c r="C50" s="2428" t="str">
        <f>'Data Analysis'!C261</f>
        <v>Are the life cycle costs for major components of the project - reasonable and affordable?</v>
      </c>
      <c r="D50" s="2428"/>
      <c r="E50" s="2428"/>
      <c r="F50" s="2428"/>
      <c r="G50" s="2428"/>
      <c r="H50" s="2428"/>
      <c r="I50" s="2428"/>
      <c r="J50" s="2428"/>
      <c r="K50" s="2428"/>
      <c r="L50" s="2428"/>
      <c r="M50" s="2428"/>
      <c r="N50" s="1981"/>
    </row>
    <row r="51" spans="1:21" s="245" customFormat="1" x14ac:dyDescent="0.3">
      <c r="A51" s="13"/>
      <c r="B51" s="1374">
        <f>'Data Analysis'!B262</f>
        <v>10</v>
      </c>
      <c r="C51" s="2428" t="str">
        <f>'Data Analysis'!C262</f>
        <v>Will the project have any significant adverse impact on health or quality of life of users, workers and local population.</v>
      </c>
      <c r="D51" s="2428"/>
      <c r="E51" s="2428"/>
      <c r="F51" s="2428"/>
      <c r="G51" s="2428"/>
      <c r="H51" s="2428"/>
      <c r="I51" s="2428"/>
      <c r="J51" s="2428"/>
      <c r="K51" s="2428"/>
      <c r="L51" s="2428"/>
      <c r="M51" s="2428"/>
      <c r="N51" s="1981"/>
      <c r="O51" s="755"/>
      <c r="P51" s="755"/>
      <c r="Q51" s="755"/>
    </row>
    <row r="52" spans="1:21" s="245" customFormat="1" x14ac:dyDescent="0.3">
      <c r="A52" s="13"/>
      <c r="B52" s="1374">
        <f>'Data Analysis'!B263</f>
        <v>11</v>
      </c>
      <c r="C52" s="2428" t="str">
        <f>'Data Analysis'!C263</f>
        <v>Is there a plan to address the legal barriers through appropriate executive action or legislative reforms?</v>
      </c>
      <c r="D52" s="2428"/>
      <c r="E52" s="2428"/>
      <c r="F52" s="2428"/>
      <c r="G52" s="2428"/>
      <c r="H52" s="2428"/>
      <c r="I52" s="2428"/>
      <c r="J52" s="2428"/>
      <c r="K52" s="2428"/>
      <c r="L52" s="2428"/>
      <c r="M52" s="2428"/>
      <c r="N52" s="1981"/>
      <c r="O52" s="755"/>
      <c r="P52" s="755"/>
      <c r="Q52" s="755"/>
    </row>
    <row r="53" spans="1:21" s="245" customFormat="1" ht="15" thickBot="1" x14ac:dyDescent="0.35">
      <c r="A53" s="13"/>
      <c r="B53" s="1375">
        <f>'Data Analysis'!B264</f>
        <v>12</v>
      </c>
      <c r="C53" s="2483" t="str">
        <f>'Data Analysis'!C264</f>
        <v>Are there financiers (nationally or regionally) who will be interested in the PPP?</v>
      </c>
      <c r="D53" s="2483"/>
      <c r="E53" s="2483"/>
      <c r="F53" s="2483"/>
      <c r="G53" s="2483"/>
      <c r="H53" s="2483"/>
      <c r="I53" s="2483"/>
      <c r="J53" s="2483"/>
      <c r="K53" s="2483"/>
      <c r="L53" s="2483"/>
      <c r="M53" s="2483"/>
      <c r="N53" s="1982"/>
      <c r="O53" s="755"/>
      <c r="P53" s="755"/>
      <c r="Q53" s="755"/>
    </row>
    <row r="54" spans="1:21" s="245" customFormat="1" x14ac:dyDescent="0.3">
      <c r="A54" s="13"/>
      <c r="I54" s="755"/>
      <c r="O54" s="755"/>
      <c r="P54" s="755"/>
      <c r="Q54" s="755"/>
    </row>
    <row r="55" spans="1:21" s="245" customFormat="1" ht="15" thickBot="1" x14ac:dyDescent="0.35">
      <c r="A55" s="13"/>
      <c r="I55" s="755"/>
      <c r="O55" s="755"/>
      <c r="P55" s="755"/>
      <c r="Q55" s="755"/>
    </row>
    <row r="56" spans="1:21" s="245" customFormat="1" ht="14.55" customHeight="1" x14ac:dyDescent="0.3">
      <c r="A56" s="13"/>
      <c r="B56" s="1746"/>
      <c r="C56" s="468" t="s">
        <v>668</v>
      </c>
      <c r="D56" s="1747"/>
      <c r="E56" s="1748"/>
      <c r="F56" s="469"/>
      <c r="G56" s="470"/>
      <c r="H56" s="1747"/>
      <c r="I56" s="1747"/>
      <c r="J56" s="1747"/>
      <c r="K56" s="1747"/>
      <c r="L56" s="1747"/>
      <c r="M56" s="1747"/>
      <c r="N56" s="1952"/>
      <c r="O56" s="755"/>
      <c r="P56" s="2484" t="s">
        <v>67</v>
      </c>
      <c r="Q56" s="2486" t="s">
        <v>829</v>
      </c>
      <c r="R56" s="2486"/>
      <c r="S56" s="2486"/>
      <c r="T56" s="2486"/>
      <c r="U56" s="2486"/>
    </row>
    <row r="57" spans="1:21" x14ac:dyDescent="0.3">
      <c r="A57" s="13"/>
      <c r="B57" s="1924"/>
      <c r="C57" s="1925"/>
      <c r="D57" s="1926"/>
      <c r="E57" s="1926"/>
      <c r="F57" s="1926"/>
      <c r="G57" s="1926"/>
      <c r="H57" s="1926"/>
      <c r="I57" s="1926"/>
      <c r="J57" s="1926"/>
      <c r="K57" s="1926"/>
      <c r="L57" s="1927" t="s">
        <v>669</v>
      </c>
      <c r="M57" s="1928" t="s">
        <v>670</v>
      </c>
      <c r="N57" s="1929" t="s">
        <v>671</v>
      </c>
      <c r="O57" s="13"/>
      <c r="P57" s="2484"/>
      <c r="Q57" s="2486"/>
      <c r="R57" s="2486"/>
      <c r="S57" s="2486"/>
      <c r="T57" s="2486"/>
      <c r="U57" s="2486"/>
    </row>
    <row r="58" spans="1:21" ht="14.55" customHeight="1" x14ac:dyDescent="0.3">
      <c r="A58" s="13"/>
      <c r="B58" s="1924"/>
      <c r="C58" s="1926"/>
      <c r="D58" s="1930"/>
      <c r="E58" s="1926"/>
      <c r="F58" s="1926"/>
      <c r="G58" s="1926"/>
      <c r="H58" s="1926"/>
      <c r="I58" s="1926"/>
      <c r="J58" s="1926"/>
      <c r="K58" s="1926"/>
      <c r="L58" s="1931"/>
      <c r="M58" s="1932"/>
      <c r="N58" s="1933"/>
      <c r="O58" s="13"/>
      <c r="P58" s="2484"/>
      <c r="Q58" s="2486"/>
      <c r="R58" s="2486"/>
      <c r="S58" s="2486"/>
      <c r="T58" s="2486"/>
      <c r="U58" s="2486"/>
    </row>
    <row r="59" spans="1:21" x14ac:dyDescent="0.3">
      <c r="A59" s="13"/>
      <c r="B59" s="1924"/>
      <c r="C59" s="1926" t="s">
        <v>672</v>
      </c>
      <c r="D59" s="1930"/>
      <c r="E59" s="1926"/>
      <c r="F59" s="1926"/>
      <c r="G59" s="1926"/>
      <c r="H59" s="1926"/>
      <c r="I59" s="1926"/>
      <c r="J59" s="1926"/>
      <c r="K59" s="1926"/>
      <c r="L59" s="1983">
        <v>0.60099999999999998</v>
      </c>
      <c r="M59" s="1984">
        <v>0.75</v>
      </c>
      <c r="N59" s="1985">
        <v>2</v>
      </c>
      <c r="O59" s="13"/>
      <c r="P59" s="2484"/>
      <c r="Q59" s="2486"/>
      <c r="R59" s="2486"/>
      <c r="S59" s="2486"/>
      <c r="T59" s="2486"/>
      <c r="U59" s="2486"/>
    </row>
    <row r="60" spans="1:21" ht="14.55" customHeight="1" x14ac:dyDescent="0.3">
      <c r="A60" s="13"/>
      <c r="B60" s="1924"/>
      <c r="C60" s="1926" t="s">
        <v>672</v>
      </c>
      <c r="D60" s="1930"/>
      <c r="E60" s="1926"/>
      <c r="F60" s="1926"/>
      <c r="G60" s="1926"/>
      <c r="H60" s="1926"/>
      <c r="I60" s="1926"/>
      <c r="J60" s="1926"/>
      <c r="K60" s="1926"/>
      <c r="L60" s="1967">
        <f>M59+0.001</f>
        <v>0.751</v>
      </c>
      <c r="M60" s="1984">
        <v>0.9</v>
      </c>
      <c r="N60" s="1985">
        <v>1.5</v>
      </c>
      <c r="O60" s="13"/>
      <c r="P60" s="2484"/>
      <c r="Q60" s="2486"/>
      <c r="R60" s="2486"/>
      <c r="S60" s="2486"/>
      <c r="T60" s="2486"/>
      <c r="U60" s="2486"/>
    </row>
    <row r="61" spans="1:21" ht="15" thickBot="1" x14ac:dyDescent="0.35">
      <c r="A61" s="13"/>
      <c r="B61" s="1934"/>
      <c r="C61" s="1935" t="s">
        <v>672</v>
      </c>
      <c r="D61" s="1936"/>
      <c r="E61" s="1926"/>
      <c r="F61" s="1926"/>
      <c r="G61" s="1926"/>
      <c r="H61" s="1926"/>
      <c r="I61" s="1926"/>
      <c r="J61" s="1926"/>
      <c r="K61" s="1926"/>
      <c r="L61" s="1967">
        <f>M60+0.001</f>
        <v>0.90100000000000002</v>
      </c>
      <c r="M61" s="1986">
        <v>1</v>
      </c>
      <c r="N61" s="1987">
        <v>1</v>
      </c>
      <c r="O61" s="13"/>
      <c r="P61" s="2484"/>
      <c r="Q61" s="2486"/>
      <c r="R61" s="2486"/>
      <c r="S61" s="2486"/>
      <c r="T61" s="2486"/>
      <c r="U61" s="2486"/>
    </row>
    <row r="62" spans="1:21" x14ac:dyDescent="0.3">
      <c r="A62" s="13"/>
      <c r="B62" s="1746"/>
      <c r="C62" s="468" t="s">
        <v>778</v>
      </c>
      <c r="D62" s="1747"/>
      <c r="E62" s="1747"/>
      <c r="F62" s="1747"/>
      <c r="G62" s="1747"/>
      <c r="H62" s="1747"/>
      <c r="I62" s="1747"/>
      <c r="J62" s="1747"/>
      <c r="K62" s="1747"/>
      <c r="L62" s="1748"/>
      <c r="M62" s="469"/>
      <c r="N62" s="470"/>
      <c r="O62" s="13"/>
      <c r="P62" s="2484"/>
      <c r="Q62" s="2486"/>
      <c r="R62" s="2486"/>
      <c r="S62" s="2486"/>
      <c r="T62" s="2486"/>
      <c r="U62" s="2486"/>
    </row>
    <row r="63" spans="1:21" x14ac:dyDescent="0.3">
      <c r="A63" s="13"/>
      <c r="B63" s="1953"/>
      <c r="C63" s="1951"/>
      <c r="D63" s="1951"/>
      <c r="E63" s="1951"/>
      <c r="F63" s="1951"/>
      <c r="G63" s="1951"/>
      <c r="H63" s="1951"/>
      <c r="I63" s="1951"/>
      <c r="J63" s="1951"/>
      <c r="K63" s="1951"/>
      <c r="L63" s="1927" t="s">
        <v>669</v>
      </c>
      <c r="M63" s="1951"/>
      <c r="N63" s="1929" t="s">
        <v>671</v>
      </c>
      <c r="O63" s="13"/>
      <c r="P63" s="2484"/>
      <c r="Q63" s="2486"/>
      <c r="R63" s="2486"/>
      <c r="S63" s="2486"/>
      <c r="T63" s="2486"/>
      <c r="U63" s="2486"/>
    </row>
    <row r="64" spans="1:21" x14ac:dyDescent="0.3">
      <c r="A64" s="13"/>
      <c r="B64" s="1924"/>
      <c r="C64" s="1925" t="s">
        <v>780</v>
      </c>
      <c r="D64" s="1926"/>
      <c r="E64" s="1926"/>
      <c r="F64" s="1926"/>
      <c r="G64" s="1926"/>
      <c r="H64" s="1926"/>
      <c r="I64" s="1926"/>
      <c r="J64" s="1926"/>
      <c r="K64" s="1926"/>
      <c r="L64" s="1988">
        <v>0.25</v>
      </c>
      <c r="M64" s="1951"/>
      <c r="N64" s="1989">
        <v>2</v>
      </c>
      <c r="O64" s="13"/>
      <c r="P64" s="2484"/>
      <c r="Q64" s="2486"/>
      <c r="R64" s="2486"/>
      <c r="S64" s="2486"/>
      <c r="T64" s="2486"/>
      <c r="U64" s="2486"/>
    </row>
    <row r="65" spans="1:21" ht="15" thickBot="1" x14ac:dyDescent="0.35">
      <c r="A65" s="13"/>
      <c r="B65" s="1954"/>
      <c r="C65" s="1955"/>
      <c r="D65" s="1955"/>
      <c r="E65" s="1955"/>
      <c r="F65" s="1955"/>
      <c r="G65" s="1955"/>
      <c r="H65" s="1955"/>
      <c r="I65" s="1955"/>
      <c r="J65" s="1955"/>
      <c r="K65" s="1955"/>
      <c r="L65" s="1955"/>
      <c r="M65" s="1955"/>
      <c r="N65" s="1956"/>
      <c r="O65" s="13"/>
      <c r="P65" s="2484"/>
      <c r="Q65" s="2486"/>
      <c r="R65" s="2486"/>
      <c r="S65" s="2486"/>
      <c r="T65" s="2486"/>
      <c r="U65" s="2486"/>
    </row>
    <row r="66" spans="1:21" ht="15" customHeight="1" thickBot="1" x14ac:dyDescent="0.35">
      <c r="A66" s="13"/>
      <c r="B66" s="1746"/>
      <c r="C66" s="468" t="s">
        <v>820</v>
      </c>
      <c r="D66" s="1747"/>
      <c r="E66" s="1747"/>
      <c r="F66" s="1747"/>
      <c r="G66" s="1747"/>
      <c r="H66" s="1747"/>
      <c r="I66" s="1747"/>
      <c r="J66" s="1747"/>
      <c r="K66" s="1747"/>
      <c r="L66" s="1748"/>
      <c r="M66" s="469"/>
      <c r="N66" s="470"/>
      <c r="O66" s="13"/>
      <c r="P66" s="2484"/>
      <c r="Q66" s="2486"/>
      <c r="R66" s="2486"/>
      <c r="S66" s="2486"/>
      <c r="T66" s="2486"/>
      <c r="U66" s="2486"/>
    </row>
    <row r="67" spans="1:21" x14ac:dyDescent="0.3">
      <c r="B67" s="2038"/>
      <c r="C67" s="2039"/>
      <c r="D67" s="2039"/>
      <c r="E67" s="2039"/>
      <c r="F67" s="2039"/>
      <c r="G67" s="2039"/>
      <c r="H67" s="2039"/>
      <c r="I67" s="2039"/>
      <c r="J67" s="2039"/>
      <c r="K67" s="2039"/>
      <c r="L67" s="2040" t="s">
        <v>670</v>
      </c>
      <c r="M67" s="2039"/>
      <c r="N67" s="2041" t="s">
        <v>671</v>
      </c>
      <c r="P67" s="2484"/>
      <c r="Q67" s="2486"/>
      <c r="R67" s="2486"/>
      <c r="S67" s="2486"/>
      <c r="T67" s="2486"/>
      <c r="U67" s="2486"/>
    </row>
    <row r="68" spans="1:21" x14ac:dyDescent="0.3">
      <c r="B68" s="1924"/>
      <c r="C68" s="1925" t="s">
        <v>822</v>
      </c>
      <c r="D68" s="1926"/>
      <c r="E68" s="1926"/>
      <c r="F68" s="1926"/>
      <c r="G68" s="1926"/>
      <c r="H68" s="1926"/>
      <c r="I68" s="1926"/>
      <c r="J68" s="1926"/>
      <c r="K68" s="2045" t="s">
        <v>830</v>
      </c>
      <c r="L68" s="2037">
        <v>2</v>
      </c>
      <c r="M68" s="1951"/>
      <c r="N68" s="1989">
        <v>2.5</v>
      </c>
      <c r="P68" s="2484"/>
      <c r="Q68" s="2486"/>
      <c r="R68" s="2486"/>
      <c r="S68" s="2486"/>
      <c r="T68" s="2486"/>
      <c r="U68" s="2486"/>
    </row>
    <row r="69" spans="1:21" x14ac:dyDescent="0.3">
      <c r="B69" s="1953"/>
      <c r="C69" s="1925" t="s">
        <v>822</v>
      </c>
      <c r="D69" s="1951"/>
      <c r="E69" s="1951"/>
      <c r="F69" s="1951"/>
      <c r="G69" s="1951"/>
      <c r="H69" s="1951"/>
      <c r="I69" s="1951"/>
      <c r="J69" s="1951"/>
      <c r="K69" s="2045" t="s">
        <v>830</v>
      </c>
      <c r="L69" s="2037">
        <v>1.5</v>
      </c>
      <c r="M69" s="1951"/>
      <c r="N69" s="1989">
        <v>2</v>
      </c>
      <c r="P69" s="2484"/>
      <c r="Q69" s="2486"/>
      <c r="R69" s="2486"/>
      <c r="S69" s="2486"/>
      <c r="T69" s="2486"/>
      <c r="U69" s="2486"/>
    </row>
    <row r="70" spans="1:21" x14ac:dyDescent="0.3">
      <c r="B70" s="1924"/>
      <c r="C70" s="1925" t="s">
        <v>821</v>
      </c>
      <c r="D70" s="1926"/>
      <c r="E70" s="1926"/>
      <c r="F70" s="1926"/>
      <c r="G70" s="1926"/>
      <c r="H70" s="1926"/>
      <c r="I70" s="1926"/>
      <c r="J70" s="1926"/>
      <c r="K70" s="2045" t="s">
        <v>831</v>
      </c>
      <c r="L70" s="2037">
        <v>2</v>
      </c>
      <c r="M70" s="1951"/>
      <c r="N70" s="1989">
        <v>2</v>
      </c>
      <c r="P70" s="2484"/>
      <c r="Q70" s="2486"/>
      <c r="R70" s="2486"/>
      <c r="S70" s="2486"/>
      <c r="T70" s="2486"/>
      <c r="U70" s="2486"/>
    </row>
    <row r="71" spans="1:21" ht="15" thickBot="1" x14ac:dyDescent="0.35">
      <c r="B71" s="1954"/>
      <c r="C71" s="2042" t="s">
        <v>821</v>
      </c>
      <c r="D71" s="1955"/>
      <c r="E71" s="1955"/>
      <c r="F71" s="1955"/>
      <c r="G71" s="1955"/>
      <c r="H71" s="1955"/>
      <c r="I71" s="1955"/>
      <c r="J71" s="1955"/>
      <c r="K71" s="2046" t="s">
        <v>831</v>
      </c>
      <c r="L71" s="2043">
        <v>1.5</v>
      </c>
      <c r="M71" s="1955"/>
      <c r="N71" s="2044">
        <v>1.5</v>
      </c>
      <c r="P71" s="2484"/>
      <c r="Q71" s="2486"/>
      <c r="R71" s="2486"/>
      <c r="S71" s="2486"/>
      <c r="T71" s="2486"/>
      <c r="U71" s="2486"/>
    </row>
  </sheetData>
  <sheetProtection password="DA20" sheet="1" objects="1" scenarios="1"/>
  <mergeCells count="28">
    <mergeCell ref="P56:P71"/>
    <mergeCell ref="Q56:U71"/>
    <mergeCell ref="Q14:V17"/>
    <mergeCell ref="P3:P17"/>
    <mergeCell ref="Q3:V3"/>
    <mergeCell ref="Q4:V5"/>
    <mergeCell ref="Q8:V9"/>
    <mergeCell ref="Q10:V11"/>
    <mergeCell ref="Q12:V13"/>
    <mergeCell ref="Q6:V7"/>
    <mergeCell ref="C46:M46"/>
    <mergeCell ref="P37:P40"/>
    <mergeCell ref="Q37:U38"/>
    <mergeCell ref="C38:L38"/>
    <mergeCell ref="C39:L39"/>
    <mergeCell ref="C40:L40"/>
    <mergeCell ref="Q39:U40"/>
    <mergeCell ref="C42:M42"/>
    <mergeCell ref="C43:M43"/>
    <mergeCell ref="C44:M44"/>
    <mergeCell ref="C45:M45"/>
    <mergeCell ref="C51:M51"/>
    <mergeCell ref="C52:M52"/>
    <mergeCell ref="C53:M53"/>
    <mergeCell ref="C47:M47"/>
    <mergeCell ref="C48:M48"/>
    <mergeCell ref="C49:M49"/>
    <mergeCell ref="C50:M50"/>
  </mergeCells>
  <conditionalFormatting sqref="J5:J8">
    <cfRule type="colorScale" priority="148">
      <colorScale>
        <cfvo type="min"/>
        <cfvo type="percentile" val="50"/>
        <cfvo type="max"/>
        <color rgb="FFF8696B"/>
        <color rgb="FFFFEB84"/>
        <color rgb="FF63BE7B"/>
      </colorScale>
    </cfRule>
  </conditionalFormatting>
  <conditionalFormatting sqref="J26:J27 L4 J17:J24">
    <cfRule type="colorScale" priority="113">
      <colorScale>
        <cfvo type="num" val="0"/>
        <cfvo type="num" val="2.5"/>
        <cfvo type="num" val="5"/>
        <color rgb="FFF8696B"/>
        <color rgb="FFFFEB84"/>
        <color rgb="FF63BE7B"/>
      </colorScale>
    </cfRule>
  </conditionalFormatting>
  <conditionalFormatting sqref="J10:J15">
    <cfRule type="colorScale" priority="93">
      <colorScale>
        <cfvo type="num" val="0"/>
        <cfvo type="num" val="2.5"/>
        <cfvo type="num" val="5"/>
        <color rgb="FFF8696B"/>
        <color rgb="FFFFEB84"/>
        <color rgb="FF63BE7B"/>
      </colorScale>
    </cfRule>
  </conditionalFormatting>
  <conditionalFormatting sqref="J29:J30">
    <cfRule type="colorScale" priority="91">
      <colorScale>
        <cfvo type="num" val="0"/>
        <cfvo type="num" val="2.5"/>
        <cfvo type="num" val="5"/>
        <color rgb="FFF8696B"/>
        <color rgb="FFFFEB84"/>
        <color rgb="FF63BE7B"/>
      </colorScale>
    </cfRule>
  </conditionalFormatting>
  <conditionalFormatting sqref="J32:J34">
    <cfRule type="colorScale" priority="90">
      <colorScale>
        <cfvo type="num" val="0"/>
        <cfvo type="num" val="2.5"/>
        <cfvo type="num" val="5"/>
        <color rgb="FFF8696B"/>
        <color rgb="FFFFEB84"/>
        <color rgb="FF63BE7B"/>
      </colorScale>
    </cfRule>
  </conditionalFormatting>
  <conditionalFormatting sqref="L9">
    <cfRule type="colorScale" priority="89">
      <colorScale>
        <cfvo type="num" val="0"/>
        <cfvo type="num" val="2.5"/>
        <cfvo type="num" val="5"/>
        <color rgb="FFF8696B"/>
        <color rgb="FFFFEB84"/>
        <color rgb="FF63BE7B"/>
      </colorScale>
    </cfRule>
  </conditionalFormatting>
  <conditionalFormatting sqref="L16">
    <cfRule type="colorScale" priority="88">
      <colorScale>
        <cfvo type="num" val="0"/>
        <cfvo type="num" val="2.5"/>
        <cfvo type="num" val="5"/>
        <color rgb="FFF8696B"/>
        <color rgb="FFFFEB84"/>
        <color rgb="FF63BE7B"/>
      </colorScale>
    </cfRule>
  </conditionalFormatting>
  <conditionalFormatting sqref="L28">
    <cfRule type="colorScale" priority="87">
      <colorScale>
        <cfvo type="num" val="0"/>
        <cfvo type="num" val="2.5"/>
        <cfvo type="num" val="5"/>
        <color rgb="FFF8696B"/>
        <color rgb="FFFFEB84"/>
        <color rgb="FF63BE7B"/>
      </colorScale>
    </cfRule>
  </conditionalFormatting>
  <conditionalFormatting sqref="L31">
    <cfRule type="colorScale" priority="86">
      <colorScale>
        <cfvo type="num" val="0"/>
        <cfvo type="num" val="2.5"/>
        <cfvo type="num" val="5"/>
        <color rgb="FFF8696B"/>
        <color rgb="FFFFEB84"/>
        <color rgb="FF63BE7B"/>
      </colorScale>
    </cfRule>
  </conditionalFormatting>
  <conditionalFormatting sqref="L25">
    <cfRule type="colorScale" priority="85">
      <colorScale>
        <cfvo type="num" val="0"/>
        <cfvo type="num" val="2.5"/>
        <cfvo type="num" val="5"/>
        <color rgb="FFF8696B"/>
        <color rgb="FFFFEB84"/>
        <color rgb="FF63BE7B"/>
      </colorScale>
    </cfRule>
  </conditionalFormatting>
  <conditionalFormatting sqref="D17:D24">
    <cfRule type="cellIs" dxfId="75" priority="73" operator="equal">
      <formula>"Not Applicable"</formula>
    </cfRule>
  </conditionalFormatting>
  <conditionalFormatting sqref="D18:D24">
    <cfRule type="cellIs" dxfId="74" priority="72" operator="equal">
      <formula>0</formula>
    </cfRule>
  </conditionalFormatting>
  <conditionalFormatting sqref="D24">
    <cfRule type="cellIs" dxfId="73" priority="67" operator="equal">
      <formula>0</formula>
    </cfRule>
  </conditionalFormatting>
  <conditionalFormatting sqref="K5:K8">
    <cfRule type="colorScale" priority="44">
      <colorScale>
        <cfvo type="min"/>
        <cfvo type="percentile" val="50"/>
        <cfvo type="max"/>
        <color rgb="FFF8696B"/>
        <color rgb="FFFFEB84"/>
        <color rgb="FF63BE7B"/>
      </colorScale>
    </cfRule>
  </conditionalFormatting>
  <conditionalFormatting sqref="K10:K15">
    <cfRule type="colorScale" priority="37">
      <colorScale>
        <cfvo type="min"/>
        <cfvo type="percentile" val="50"/>
        <cfvo type="max"/>
        <color rgb="FFF8696B"/>
        <color rgb="FFFFEB84"/>
        <color rgb="FF63BE7B"/>
      </colorScale>
    </cfRule>
  </conditionalFormatting>
  <conditionalFormatting sqref="K32:K34">
    <cfRule type="colorScale" priority="33">
      <colorScale>
        <cfvo type="min"/>
        <cfvo type="percentile" val="50"/>
        <cfvo type="max"/>
        <color rgb="FFF8696B"/>
        <color rgb="FFFFEB84"/>
        <color rgb="FF63BE7B"/>
      </colorScale>
    </cfRule>
  </conditionalFormatting>
  <conditionalFormatting sqref="K17:K24">
    <cfRule type="colorScale" priority="9">
      <colorScale>
        <cfvo type="min"/>
        <cfvo type="percentile" val="50"/>
        <cfvo type="max"/>
        <color rgb="FFF8696B"/>
        <color rgb="FFFFEB84"/>
        <color rgb="FF63BE7B"/>
      </colorScale>
    </cfRule>
  </conditionalFormatting>
  <conditionalFormatting sqref="K26:K27">
    <cfRule type="colorScale" priority="8">
      <colorScale>
        <cfvo type="min"/>
        <cfvo type="percentile" val="50"/>
        <cfvo type="max"/>
        <color rgb="FFF8696B"/>
        <color rgb="FFFFEB84"/>
        <color rgb="FF63BE7B"/>
      </colorScale>
    </cfRule>
  </conditionalFormatting>
  <conditionalFormatting sqref="K29:K30">
    <cfRule type="colorScale" priority="7">
      <colorScale>
        <cfvo type="min"/>
        <cfvo type="percentile" val="50"/>
        <cfvo type="max"/>
        <color rgb="FFF8696B"/>
        <color rgb="FFFFEB84"/>
        <color rgb="FF63BE7B"/>
      </colorScale>
    </cfRule>
  </conditionalFormatting>
  <dataValidations count="9">
    <dataValidation type="decimal" allowBlank="1" showInputMessage="1" showErrorMessage="1" prompt="Please input a percentage between 40% - 69.99%" sqref="L59" xr:uid="{00000000-0002-0000-0E00-000000000000}">
      <formula1>0.4</formula1>
      <formula2>0.6999</formula2>
    </dataValidation>
    <dataValidation type="decimal" allowBlank="1" showInputMessage="1" showErrorMessage="1" prompt="This cell should be 100%" sqref="M61" xr:uid="{00000000-0002-0000-0E00-000001000000}">
      <formula1>0.99</formula1>
      <formula2>1</formula2>
    </dataValidation>
    <dataValidation type="decimal" allowBlank="1" showInputMessage="1" showErrorMessage="1" prompt="Please input a percentage between 70%-80%" sqref="M59" xr:uid="{00000000-0002-0000-0E00-000002000000}">
      <formula1>0.7</formula1>
      <formula2>0.8</formula2>
    </dataValidation>
    <dataValidation allowBlank="1" showInputMessage="1" showErrorMessage="1" prompt="This cell contains a formula. Please dont enter any values here." sqref="L60:L61" xr:uid="{00000000-0002-0000-0E00-000003000000}"/>
    <dataValidation type="decimal" allowBlank="1" showInputMessage="1" showErrorMessage="1" prompt="Please enter a percentage between 80%-95%." sqref="M60" xr:uid="{00000000-0002-0000-0E00-000004000000}">
      <formula1>0.8</formula1>
      <formula2>0.95</formula2>
    </dataValidation>
    <dataValidation type="decimal" allowBlank="1" showInputMessage="1" showErrorMessage="1" prompt="Please enter a number between 0.5 to 5." sqref="N59:N61" xr:uid="{00000000-0002-0000-0E00-000005000000}">
      <formula1>0.5</formula1>
      <formula2>5</formula2>
    </dataValidation>
    <dataValidation type="decimal" allowBlank="1" showInputMessage="1" showErrorMessage="1" prompt="Please enter a value between 0.5 to 5." sqref="N64" xr:uid="{00000000-0002-0000-0E00-000006000000}">
      <formula1>0.5</formula1>
      <formula2>5</formula2>
    </dataValidation>
    <dataValidation type="decimal" allowBlank="1" showInputMessage="1" showErrorMessage="1" prompt="Please enter any percentage between 5%-100%" sqref="L64" xr:uid="{00000000-0002-0000-0E00-000007000000}">
      <formula1>0.05</formula1>
      <formula2>1</formula2>
    </dataValidation>
    <dataValidation type="decimal" allowBlank="1" showInputMessage="1" showErrorMessage="1" prompt="Please enter a value between 0.5 to 2.5" sqref="L68:L71 N68:N71" xr:uid="{00000000-0002-0000-0E00-000008000000}">
      <formula1>0.5</formula1>
      <formula2>2.5</formula2>
    </dataValidation>
  </dataValidations>
  <hyperlinks>
    <hyperlink ref="C4" location="'I.Strategic Suitability'!A1" display="'I.Strategic Suitability'!A1" xr:uid="{00000000-0004-0000-0E00-000000000000}"/>
    <hyperlink ref="C9" location="'II.Preliminary Feasibility'!A1" display="'II.Preliminary Feasibility'!A1" xr:uid="{00000000-0004-0000-0E00-000001000000}"/>
    <hyperlink ref="C16" location="'III.Risk Assessment'!A1" display="'III.Risk Assessment'!A1" xr:uid="{00000000-0004-0000-0E00-000002000000}"/>
    <hyperlink ref="C28" location="'V.Fiscal Affordability'!A1" display="'V.Fiscal Affordability'!A1" xr:uid="{00000000-0004-0000-0E00-000003000000}"/>
    <hyperlink ref="C31" location="'VI.Institutional Capability'!A1" display="'VI.Institutional Capability'!A1" xr:uid="{00000000-0004-0000-0E00-000004000000}"/>
    <hyperlink ref="C25" location="'IV.PPP Suitability'!A1" display="'IV.PPP Suitability'!A1" xr:uid="{00000000-0004-0000-0E00-000005000000}"/>
  </hyperlinks>
  <pageMargins left="0.7" right="0.7" top="0.75" bottom="0.75" header="0.3" footer="0.3"/>
  <pageSetup paperSize="9" scale="47"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38100</xdr:colOff>
                    <xdr:row>3</xdr:row>
                    <xdr:rowOff>15240</xdr:rowOff>
                  </from>
                  <to>
                    <xdr:col>7</xdr:col>
                    <xdr:colOff>944880</xdr:colOff>
                    <xdr:row>3</xdr:row>
                    <xdr:rowOff>182880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38100</xdr:colOff>
                    <xdr:row>7</xdr:row>
                    <xdr:rowOff>182880</xdr:rowOff>
                  </from>
                  <to>
                    <xdr:col>7</xdr:col>
                    <xdr:colOff>944880</xdr:colOff>
                    <xdr:row>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68580</xdr:colOff>
                    <xdr:row>15</xdr:row>
                    <xdr:rowOff>0</xdr:rowOff>
                  </from>
                  <to>
                    <xdr:col>7</xdr:col>
                    <xdr:colOff>944880</xdr:colOff>
                    <xdr:row>15</xdr:row>
                    <xdr:rowOff>182880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7</xdr:col>
                    <xdr:colOff>76200</xdr:colOff>
                    <xdr:row>26</xdr:row>
                    <xdr:rowOff>167640</xdr:rowOff>
                  </from>
                  <to>
                    <xdr:col>7</xdr:col>
                    <xdr:colOff>952500</xdr:colOff>
                    <xdr:row>27</xdr:row>
                    <xdr:rowOff>182880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68580</xdr:colOff>
                    <xdr:row>29</xdr:row>
                    <xdr:rowOff>182880</xdr:rowOff>
                  </from>
                  <to>
                    <xdr:col>7</xdr:col>
                    <xdr:colOff>944880</xdr:colOff>
                    <xdr:row>30</xdr:row>
                    <xdr:rowOff>182880</xdr:rowOff>
                  </to>
                </anchor>
              </controlPr>
            </control>
          </mc:Choice>
        </mc:AlternateContent>
        <mc:AlternateContent xmlns:mc="http://schemas.openxmlformats.org/markup-compatibility/2006">
          <mc:Choice Requires="x14">
            <control shapeId="6150" r:id="rId9" name="Scroll Bar 6">
              <controlPr defaultSize="0" autoPict="0">
                <anchor moveWithCells="1">
                  <from>
                    <xdr:col>7</xdr:col>
                    <xdr:colOff>182880</xdr:colOff>
                    <xdr:row>3</xdr:row>
                    <xdr:rowOff>190500</xdr:rowOff>
                  </from>
                  <to>
                    <xdr:col>8</xdr:col>
                    <xdr:colOff>30480</xdr:colOff>
                    <xdr:row>5</xdr:row>
                    <xdr:rowOff>0</xdr:rowOff>
                  </to>
                </anchor>
              </controlPr>
            </control>
          </mc:Choice>
        </mc:AlternateContent>
        <mc:AlternateContent xmlns:mc="http://schemas.openxmlformats.org/markup-compatibility/2006">
          <mc:Choice Requires="x14">
            <control shapeId="6151" r:id="rId10" name="Scroll Bar 7">
              <controlPr defaultSize="0" autoPict="0">
                <anchor moveWithCells="1">
                  <from>
                    <xdr:col>7</xdr:col>
                    <xdr:colOff>182880</xdr:colOff>
                    <xdr:row>5</xdr:row>
                    <xdr:rowOff>0</xdr:rowOff>
                  </from>
                  <to>
                    <xdr:col>8</xdr:col>
                    <xdr:colOff>30480</xdr:colOff>
                    <xdr:row>6</xdr:row>
                    <xdr:rowOff>0</xdr:rowOff>
                  </to>
                </anchor>
              </controlPr>
            </control>
          </mc:Choice>
        </mc:AlternateContent>
        <mc:AlternateContent xmlns:mc="http://schemas.openxmlformats.org/markup-compatibility/2006">
          <mc:Choice Requires="x14">
            <control shapeId="6152" r:id="rId11" name="Scroll Bar 8">
              <controlPr defaultSize="0" autoPict="0">
                <anchor moveWithCells="1">
                  <from>
                    <xdr:col>7</xdr:col>
                    <xdr:colOff>182880</xdr:colOff>
                    <xdr:row>6</xdr:row>
                    <xdr:rowOff>0</xdr:rowOff>
                  </from>
                  <to>
                    <xdr:col>8</xdr:col>
                    <xdr:colOff>30480</xdr:colOff>
                    <xdr:row>7</xdr:row>
                    <xdr:rowOff>0</xdr:rowOff>
                  </to>
                </anchor>
              </controlPr>
            </control>
          </mc:Choice>
        </mc:AlternateContent>
        <mc:AlternateContent xmlns:mc="http://schemas.openxmlformats.org/markup-compatibility/2006">
          <mc:Choice Requires="x14">
            <control shapeId="6153" r:id="rId12" name="Scroll Bar 9">
              <controlPr defaultSize="0" autoPict="0">
                <anchor moveWithCells="1">
                  <from>
                    <xdr:col>7</xdr:col>
                    <xdr:colOff>190500</xdr:colOff>
                    <xdr:row>6</xdr:row>
                    <xdr:rowOff>182880</xdr:rowOff>
                  </from>
                  <to>
                    <xdr:col>8</xdr:col>
                    <xdr:colOff>30480</xdr:colOff>
                    <xdr:row>7</xdr:row>
                    <xdr:rowOff>182880</xdr:rowOff>
                  </to>
                </anchor>
              </controlPr>
            </control>
          </mc:Choice>
        </mc:AlternateContent>
        <mc:AlternateContent xmlns:mc="http://schemas.openxmlformats.org/markup-compatibility/2006">
          <mc:Choice Requires="x14">
            <control shapeId="6154" r:id="rId13" name="Scroll Bar 10">
              <controlPr defaultSize="0" autoPict="0">
                <anchor moveWithCells="1">
                  <from>
                    <xdr:col>7</xdr:col>
                    <xdr:colOff>182880</xdr:colOff>
                    <xdr:row>9</xdr:row>
                    <xdr:rowOff>0</xdr:rowOff>
                  </from>
                  <to>
                    <xdr:col>8</xdr:col>
                    <xdr:colOff>30480</xdr:colOff>
                    <xdr:row>10</xdr:row>
                    <xdr:rowOff>0</xdr:rowOff>
                  </to>
                </anchor>
              </controlPr>
            </control>
          </mc:Choice>
        </mc:AlternateContent>
        <mc:AlternateContent xmlns:mc="http://schemas.openxmlformats.org/markup-compatibility/2006">
          <mc:Choice Requires="x14">
            <control shapeId="6155" r:id="rId14" name="Scroll Bar 11">
              <controlPr defaultSize="0" autoPict="0">
                <anchor moveWithCells="1">
                  <from>
                    <xdr:col>7</xdr:col>
                    <xdr:colOff>182880</xdr:colOff>
                    <xdr:row>10</xdr:row>
                    <xdr:rowOff>0</xdr:rowOff>
                  </from>
                  <to>
                    <xdr:col>8</xdr:col>
                    <xdr:colOff>30480</xdr:colOff>
                    <xdr:row>11</xdr:row>
                    <xdr:rowOff>0</xdr:rowOff>
                  </to>
                </anchor>
              </controlPr>
            </control>
          </mc:Choice>
        </mc:AlternateContent>
        <mc:AlternateContent xmlns:mc="http://schemas.openxmlformats.org/markup-compatibility/2006">
          <mc:Choice Requires="x14">
            <control shapeId="6156" r:id="rId15" name="Scroll Bar 12">
              <controlPr defaultSize="0" autoPict="0">
                <anchor moveWithCells="1">
                  <from>
                    <xdr:col>7</xdr:col>
                    <xdr:colOff>182880</xdr:colOff>
                    <xdr:row>11</xdr:row>
                    <xdr:rowOff>0</xdr:rowOff>
                  </from>
                  <to>
                    <xdr:col>8</xdr:col>
                    <xdr:colOff>30480</xdr:colOff>
                    <xdr:row>12</xdr:row>
                    <xdr:rowOff>0</xdr:rowOff>
                  </to>
                </anchor>
              </controlPr>
            </control>
          </mc:Choice>
        </mc:AlternateContent>
        <mc:AlternateContent xmlns:mc="http://schemas.openxmlformats.org/markup-compatibility/2006">
          <mc:Choice Requires="x14">
            <control shapeId="6157" r:id="rId16" name="Scroll Bar 13">
              <controlPr defaultSize="0" autoPict="0">
                <anchor moveWithCells="1">
                  <from>
                    <xdr:col>7</xdr:col>
                    <xdr:colOff>182880</xdr:colOff>
                    <xdr:row>12</xdr:row>
                    <xdr:rowOff>0</xdr:rowOff>
                  </from>
                  <to>
                    <xdr:col>8</xdr:col>
                    <xdr:colOff>30480</xdr:colOff>
                    <xdr:row>13</xdr:row>
                    <xdr:rowOff>0</xdr:rowOff>
                  </to>
                </anchor>
              </controlPr>
            </control>
          </mc:Choice>
        </mc:AlternateContent>
        <mc:AlternateContent xmlns:mc="http://schemas.openxmlformats.org/markup-compatibility/2006">
          <mc:Choice Requires="x14">
            <control shapeId="6158" r:id="rId17" name="Scroll Bar 14">
              <controlPr defaultSize="0" autoPict="0">
                <anchor moveWithCells="1">
                  <from>
                    <xdr:col>7</xdr:col>
                    <xdr:colOff>182880</xdr:colOff>
                    <xdr:row>13</xdr:row>
                    <xdr:rowOff>0</xdr:rowOff>
                  </from>
                  <to>
                    <xdr:col>8</xdr:col>
                    <xdr:colOff>30480</xdr:colOff>
                    <xdr:row>14</xdr:row>
                    <xdr:rowOff>0</xdr:rowOff>
                  </to>
                </anchor>
              </controlPr>
            </control>
          </mc:Choice>
        </mc:AlternateContent>
        <mc:AlternateContent xmlns:mc="http://schemas.openxmlformats.org/markup-compatibility/2006">
          <mc:Choice Requires="x14">
            <control shapeId="6159" r:id="rId18" name="Scroll Bar 15">
              <controlPr defaultSize="0" autoPict="0">
                <anchor moveWithCells="1">
                  <from>
                    <xdr:col>7</xdr:col>
                    <xdr:colOff>182880</xdr:colOff>
                    <xdr:row>14</xdr:row>
                    <xdr:rowOff>0</xdr:rowOff>
                  </from>
                  <to>
                    <xdr:col>8</xdr:col>
                    <xdr:colOff>30480</xdr:colOff>
                    <xdr:row>14</xdr:row>
                    <xdr:rowOff>182880</xdr:rowOff>
                  </to>
                </anchor>
              </controlPr>
            </control>
          </mc:Choice>
        </mc:AlternateContent>
        <mc:AlternateContent xmlns:mc="http://schemas.openxmlformats.org/markup-compatibility/2006">
          <mc:Choice Requires="x14">
            <control shapeId="6161" r:id="rId19" name="Scroll Bar 17">
              <controlPr defaultSize="0" autoPict="0">
                <anchor moveWithCells="1">
                  <from>
                    <xdr:col>7</xdr:col>
                    <xdr:colOff>190500</xdr:colOff>
                    <xdr:row>15</xdr:row>
                    <xdr:rowOff>182880</xdr:rowOff>
                  </from>
                  <to>
                    <xdr:col>8</xdr:col>
                    <xdr:colOff>30480</xdr:colOff>
                    <xdr:row>16</xdr:row>
                    <xdr:rowOff>182880</xdr:rowOff>
                  </to>
                </anchor>
              </controlPr>
            </control>
          </mc:Choice>
        </mc:AlternateContent>
        <mc:AlternateContent xmlns:mc="http://schemas.openxmlformats.org/markup-compatibility/2006">
          <mc:Choice Requires="x14">
            <control shapeId="6171" r:id="rId20" name="Scroll Bar 27">
              <controlPr defaultSize="0" autoPict="0">
                <anchor moveWithCells="1">
                  <from>
                    <xdr:col>7</xdr:col>
                    <xdr:colOff>205740</xdr:colOff>
                    <xdr:row>25</xdr:row>
                    <xdr:rowOff>30480</xdr:rowOff>
                  </from>
                  <to>
                    <xdr:col>8</xdr:col>
                    <xdr:colOff>30480</xdr:colOff>
                    <xdr:row>26</xdr:row>
                    <xdr:rowOff>30480</xdr:rowOff>
                  </to>
                </anchor>
              </controlPr>
            </control>
          </mc:Choice>
        </mc:AlternateContent>
        <mc:AlternateContent xmlns:mc="http://schemas.openxmlformats.org/markup-compatibility/2006">
          <mc:Choice Requires="x14">
            <control shapeId="6174" r:id="rId21" name="Scroll Bar 30">
              <controlPr defaultSize="0" autoPict="0">
                <anchor moveWithCells="1">
                  <from>
                    <xdr:col>7</xdr:col>
                    <xdr:colOff>182880</xdr:colOff>
                    <xdr:row>26</xdr:row>
                    <xdr:rowOff>0</xdr:rowOff>
                  </from>
                  <to>
                    <xdr:col>8</xdr:col>
                    <xdr:colOff>30480</xdr:colOff>
                    <xdr:row>27</xdr:row>
                    <xdr:rowOff>0</xdr:rowOff>
                  </to>
                </anchor>
              </controlPr>
            </control>
          </mc:Choice>
        </mc:AlternateContent>
        <mc:AlternateContent xmlns:mc="http://schemas.openxmlformats.org/markup-compatibility/2006">
          <mc:Choice Requires="x14">
            <control shapeId="6175" r:id="rId22" name="Scroll Bar 31">
              <controlPr defaultSize="0" autoPict="0">
                <anchor moveWithCells="1">
                  <from>
                    <xdr:col>7</xdr:col>
                    <xdr:colOff>182880</xdr:colOff>
                    <xdr:row>28</xdr:row>
                    <xdr:rowOff>15240</xdr:rowOff>
                  </from>
                  <to>
                    <xdr:col>8</xdr:col>
                    <xdr:colOff>30480</xdr:colOff>
                    <xdr:row>29</xdr:row>
                    <xdr:rowOff>30480</xdr:rowOff>
                  </to>
                </anchor>
              </controlPr>
            </control>
          </mc:Choice>
        </mc:AlternateContent>
        <mc:AlternateContent xmlns:mc="http://schemas.openxmlformats.org/markup-compatibility/2006">
          <mc:Choice Requires="x14">
            <control shapeId="6176" r:id="rId23" name="Scroll Bar 32">
              <controlPr defaultSize="0" autoPict="0">
                <anchor moveWithCells="1">
                  <from>
                    <xdr:col>7</xdr:col>
                    <xdr:colOff>182880</xdr:colOff>
                    <xdr:row>29</xdr:row>
                    <xdr:rowOff>0</xdr:rowOff>
                  </from>
                  <to>
                    <xdr:col>8</xdr:col>
                    <xdr:colOff>30480</xdr:colOff>
                    <xdr:row>30</xdr:row>
                    <xdr:rowOff>0</xdr:rowOff>
                  </to>
                </anchor>
              </controlPr>
            </control>
          </mc:Choice>
        </mc:AlternateContent>
        <mc:AlternateContent xmlns:mc="http://schemas.openxmlformats.org/markup-compatibility/2006">
          <mc:Choice Requires="x14">
            <control shapeId="6177" r:id="rId24" name="Scroll Bar 33">
              <controlPr defaultSize="0" autoPict="0">
                <anchor moveWithCells="1">
                  <from>
                    <xdr:col>7</xdr:col>
                    <xdr:colOff>182880</xdr:colOff>
                    <xdr:row>31</xdr:row>
                    <xdr:rowOff>0</xdr:rowOff>
                  </from>
                  <to>
                    <xdr:col>8</xdr:col>
                    <xdr:colOff>30480</xdr:colOff>
                    <xdr:row>32</xdr:row>
                    <xdr:rowOff>0</xdr:rowOff>
                  </to>
                </anchor>
              </controlPr>
            </control>
          </mc:Choice>
        </mc:AlternateContent>
        <mc:AlternateContent xmlns:mc="http://schemas.openxmlformats.org/markup-compatibility/2006">
          <mc:Choice Requires="x14">
            <control shapeId="6178" r:id="rId25" name="Scroll Bar 34">
              <controlPr defaultSize="0" autoPict="0">
                <anchor moveWithCells="1">
                  <from>
                    <xdr:col>7</xdr:col>
                    <xdr:colOff>182880</xdr:colOff>
                    <xdr:row>31</xdr:row>
                    <xdr:rowOff>182880</xdr:rowOff>
                  </from>
                  <to>
                    <xdr:col>8</xdr:col>
                    <xdr:colOff>30480</xdr:colOff>
                    <xdr:row>32</xdr:row>
                    <xdr:rowOff>182880</xdr:rowOff>
                  </to>
                </anchor>
              </controlPr>
            </control>
          </mc:Choice>
        </mc:AlternateContent>
        <mc:AlternateContent xmlns:mc="http://schemas.openxmlformats.org/markup-compatibility/2006">
          <mc:Choice Requires="x14">
            <control shapeId="6179" r:id="rId26" name="Scroll Bar 35">
              <controlPr defaultSize="0" autoPict="0">
                <anchor moveWithCells="1">
                  <from>
                    <xdr:col>7</xdr:col>
                    <xdr:colOff>167640</xdr:colOff>
                    <xdr:row>33</xdr:row>
                    <xdr:rowOff>0</xdr:rowOff>
                  </from>
                  <to>
                    <xdr:col>8</xdr:col>
                    <xdr:colOff>15240</xdr:colOff>
                    <xdr:row>34</xdr:row>
                    <xdr:rowOff>0</xdr:rowOff>
                  </to>
                </anchor>
              </controlPr>
            </control>
          </mc:Choice>
        </mc:AlternateContent>
        <mc:AlternateContent xmlns:mc="http://schemas.openxmlformats.org/markup-compatibility/2006">
          <mc:Choice Requires="x14">
            <control shapeId="6192" r:id="rId27" name="Check Box 48">
              <controlPr defaultSize="0" autoFill="0" autoLine="0" autoPict="0">
                <anchor moveWithCells="1">
                  <from>
                    <xdr:col>7</xdr:col>
                    <xdr:colOff>68580</xdr:colOff>
                    <xdr:row>24</xdr:row>
                    <xdr:rowOff>0</xdr:rowOff>
                  </from>
                  <to>
                    <xdr:col>7</xdr:col>
                    <xdr:colOff>944880</xdr:colOff>
                    <xdr:row>24</xdr:row>
                    <xdr:rowOff>182880</xdr:rowOff>
                  </to>
                </anchor>
              </controlPr>
            </control>
          </mc:Choice>
        </mc:AlternateContent>
        <mc:AlternateContent xmlns:mc="http://schemas.openxmlformats.org/markup-compatibility/2006">
          <mc:Choice Requires="x14">
            <control shapeId="6193" r:id="rId28" name="Scroll Bar 49">
              <controlPr defaultSize="0" autoPict="0">
                <anchor moveWithCells="1">
                  <from>
                    <xdr:col>7</xdr:col>
                    <xdr:colOff>190500</xdr:colOff>
                    <xdr:row>16</xdr:row>
                    <xdr:rowOff>167640</xdr:rowOff>
                  </from>
                  <to>
                    <xdr:col>8</xdr:col>
                    <xdr:colOff>30480</xdr:colOff>
                    <xdr:row>17</xdr:row>
                    <xdr:rowOff>152400</xdr:rowOff>
                  </to>
                </anchor>
              </controlPr>
            </control>
          </mc:Choice>
        </mc:AlternateContent>
        <mc:AlternateContent xmlns:mc="http://schemas.openxmlformats.org/markup-compatibility/2006">
          <mc:Choice Requires="x14">
            <control shapeId="6195" r:id="rId29" name="Scroll Bar 51">
              <controlPr defaultSize="0" autoPict="0">
                <anchor moveWithCells="1">
                  <from>
                    <xdr:col>7</xdr:col>
                    <xdr:colOff>190500</xdr:colOff>
                    <xdr:row>17</xdr:row>
                    <xdr:rowOff>182880</xdr:rowOff>
                  </from>
                  <to>
                    <xdr:col>8</xdr:col>
                    <xdr:colOff>30480</xdr:colOff>
                    <xdr:row>18</xdr:row>
                    <xdr:rowOff>182880</xdr:rowOff>
                  </to>
                </anchor>
              </controlPr>
            </control>
          </mc:Choice>
        </mc:AlternateContent>
        <mc:AlternateContent xmlns:mc="http://schemas.openxmlformats.org/markup-compatibility/2006">
          <mc:Choice Requires="x14">
            <control shapeId="6197" r:id="rId30" name="Scroll Bar 53">
              <controlPr defaultSize="0" autoPict="0">
                <anchor moveWithCells="1">
                  <from>
                    <xdr:col>7</xdr:col>
                    <xdr:colOff>190500</xdr:colOff>
                    <xdr:row>18</xdr:row>
                    <xdr:rowOff>182880</xdr:rowOff>
                  </from>
                  <to>
                    <xdr:col>8</xdr:col>
                    <xdr:colOff>30480</xdr:colOff>
                    <xdr:row>19</xdr:row>
                    <xdr:rowOff>182880</xdr:rowOff>
                  </to>
                </anchor>
              </controlPr>
            </control>
          </mc:Choice>
        </mc:AlternateContent>
        <mc:AlternateContent xmlns:mc="http://schemas.openxmlformats.org/markup-compatibility/2006">
          <mc:Choice Requires="x14">
            <control shapeId="6198" r:id="rId31" name="Scroll Bar 54">
              <controlPr defaultSize="0" autoPict="0">
                <anchor moveWithCells="1">
                  <from>
                    <xdr:col>7</xdr:col>
                    <xdr:colOff>190500</xdr:colOff>
                    <xdr:row>19</xdr:row>
                    <xdr:rowOff>182880</xdr:rowOff>
                  </from>
                  <to>
                    <xdr:col>8</xdr:col>
                    <xdr:colOff>30480</xdr:colOff>
                    <xdr:row>20</xdr:row>
                    <xdr:rowOff>182880</xdr:rowOff>
                  </to>
                </anchor>
              </controlPr>
            </control>
          </mc:Choice>
        </mc:AlternateContent>
        <mc:AlternateContent xmlns:mc="http://schemas.openxmlformats.org/markup-compatibility/2006">
          <mc:Choice Requires="x14">
            <control shapeId="6199" r:id="rId32" name="Scroll Bar 55">
              <controlPr defaultSize="0" autoPict="0">
                <anchor moveWithCells="1">
                  <from>
                    <xdr:col>7</xdr:col>
                    <xdr:colOff>190500</xdr:colOff>
                    <xdr:row>21</xdr:row>
                    <xdr:rowOff>182880</xdr:rowOff>
                  </from>
                  <to>
                    <xdr:col>8</xdr:col>
                    <xdr:colOff>30480</xdr:colOff>
                    <xdr:row>22</xdr:row>
                    <xdr:rowOff>182880</xdr:rowOff>
                  </to>
                </anchor>
              </controlPr>
            </control>
          </mc:Choice>
        </mc:AlternateContent>
        <mc:AlternateContent xmlns:mc="http://schemas.openxmlformats.org/markup-compatibility/2006">
          <mc:Choice Requires="x14">
            <control shapeId="6204" r:id="rId33" name="Scroll Bar 60">
              <controlPr defaultSize="0" autoPict="0">
                <anchor moveWithCells="1">
                  <from>
                    <xdr:col>7</xdr:col>
                    <xdr:colOff>190500</xdr:colOff>
                    <xdr:row>20</xdr:row>
                    <xdr:rowOff>182880</xdr:rowOff>
                  </from>
                  <to>
                    <xdr:col>8</xdr:col>
                    <xdr:colOff>30480</xdr:colOff>
                    <xdr:row>21</xdr:row>
                    <xdr:rowOff>182880</xdr:rowOff>
                  </to>
                </anchor>
              </controlPr>
            </control>
          </mc:Choice>
        </mc:AlternateContent>
        <mc:AlternateContent xmlns:mc="http://schemas.openxmlformats.org/markup-compatibility/2006">
          <mc:Choice Requires="x14">
            <control shapeId="6186" r:id="rId34" name="Check Box 42">
              <controlPr defaultSize="0" autoFill="0" autoLine="0" autoPict="0">
                <anchor moveWithCells="1">
                  <from>
                    <xdr:col>4</xdr:col>
                    <xdr:colOff>144780</xdr:colOff>
                    <xdr:row>2</xdr:row>
                    <xdr:rowOff>106680</xdr:rowOff>
                  </from>
                  <to>
                    <xdr:col>5</xdr:col>
                    <xdr:colOff>0</xdr:colOff>
                    <xdr:row>2</xdr:row>
                    <xdr:rowOff>487680</xdr:rowOff>
                  </to>
                </anchor>
              </controlPr>
            </control>
          </mc:Choice>
        </mc:AlternateContent>
        <mc:AlternateContent xmlns:mc="http://schemas.openxmlformats.org/markup-compatibility/2006">
          <mc:Choice Requires="x14">
            <control shapeId="6187" r:id="rId35" name="Scroll Bar 43">
              <controlPr defaultSize="0" autoPict="0">
                <anchor moveWithCells="1">
                  <from>
                    <xdr:col>4</xdr:col>
                    <xdr:colOff>144780</xdr:colOff>
                    <xdr:row>3</xdr:row>
                    <xdr:rowOff>15240</xdr:rowOff>
                  </from>
                  <to>
                    <xdr:col>4</xdr:col>
                    <xdr:colOff>1043940</xdr:colOff>
                    <xdr:row>4</xdr:row>
                    <xdr:rowOff>0</xdr:rowOff>
                  </to>
                </anchor>
              </controlPr>
            </control>
          </mc:Choice>
        </mc:AlternateContent>
        <mc:AlternateContent xmlns:mc="http://schemas.openxmlformats.org/markup-compatibility/2006">
          <mc:Choice Requires="x14">
            <control shapeId="6188" r:id="rId36" name="Scroll Bar 44">
              <controlPr defaultSize="0" autoPict="0">
                <anchor moveWithCells="1">
                  <from>
                    <xdr:col>4</xdr:col>
                    <xdr:colOff>144780</xdr:colOff>
                    <xdr:row>8</xdr:row>
                    <xdr:rowOff>0</xdr:rowOff>
                  </from>
                  <to>
                    <xdr:col>4</xdr:col>
                    <xdr:colOff>1028700</xdr:colOff>
                    <xdr:row>9</xdr:row>
                    <xdr:rowOff>0</xdr:rowOff>
                  </to>
                </anchor>
              </controlPr>
            </control>
          </mc:Choice>
        </mc:AlternateContent>
        <mc:AlternateContent xmlns:mc="http://schemas.openxmlformats.org/markup-compatibility/2006">
          <mc:Choice Requires="x14">
            <control shapeId="6189" r:id="rId37" name="Scroll Bar 45">
              <controlPr defaultSize="0" autoPict="0">
                <anchor moveWithCells="1">
                  <from>
                    <xdr:col>4</xdr:col>
                    <xdr:colOff>144780</xdr:colOff>
                    <xdr:row>15</xdr:row>
                    <xdr:rowOff>0</xdr:rowOff>
                  </from>
                  <to>
                    <xdr:col>4</xdr:col>
                    <xdr:colOff>1059180</xdr:colOff>
                    <xdr:row>16</xdr:row>
                    <xdr:rowOff>0</xdr:rowOff>
                  </to>
                </anchor>
              </controlPr>
            </control>
          </mc:Choice>
        </mc:AlternateContent>
        <mc:AlternateContent xmlns:mc="http://schemas.openxmlformats.org/markup-compatibility/2006">
          <mc:Choice Requires="x14">
            <control shapeId="6190" r:id="rId38" name="Scroll Bar 46">
              <controlPr defaultSize="0" autoPict="0">
                <anchor moveWithCells="1">
                  <from>
                    <xdr:col>4</xdr:col>
                    <xdr:colOff>144780</xdr:colOff>
                    <xdr:row>26</xdr:row>
                    <xdr:rowOff>182880</xdr:rowOff>
                  </from>
                  <to>
                    <xdr:col>4</xdr:col>
                    <xdr:colOff>1059180</xdr:colOff>
                    <xdr:row>27</xdr:row>
                    <xdr:rowOff>182880</xdr:rowOff>
                  </to>
                </anchor>
              </controlPr>
            </control>
          </mc:Choice>
        </mc:AlternateContent>
        <mc:AlternateContent xmlns:mc="http://schemas.openxmlformats.org/markup-compatibility/2006">
          <mc:Choice Requires="x14">
            <control shapeId="6191" r:id="rId39" name="Scroll Bar 47">
              <controlPr defaultSize="0" autoPict="0">
                <anchor moveWithCells="1">
                  <from>
                    <xdr:col>4</xdr:col>
                    <xdr:colOff>144780</xdr:colOff>
                    <xdr:row>30</xdr:row>
                    <xdr:rowOff>0</xdr:rowOff>
                  </from>
                  <to>
                    <xdr:col>4</xdr:col>
                    <xdr:colOff>1028700</xdr:colOff>
                    <xdr:row>31</xdr:row>
                    <xdr:rowOff>0</xdr:rowOff>
                  </to>
                </anchor>
              </controlPr>
            </control>
          </mc:Choice>
        </mc:AlternateContent>
        <mc:AlternateContent xmlns:mc="http://schemas.openxmlformats.org/markup-compatibility/2006">
          <mc:Choice Requires="x14">
            <control shapeId="6200" r:id="rId40" name="Scroll Bar 56">
              <controlPr defaultSize="0" autoPict="0">
                <anchor moveWithCells="1">
                  <from>
                    <xdr:col>4</xdr:col>
                    <xdr:colOff>144780</xdr:colOff>
                    <xdr:row>24</xdr:row>
                    <xdr:rowOff>0</xdr:rowOff>
                  </from>
                  <to>
                    <xdr:col>4</xdr:col>
                    <xdr:colOff>1059180</xdr:colOff>
                    <xdr:row>25</xdr:row>
                    <xdr:rowOff>0</xdr:rowOff>
                  </to>
                </anchor>
              </controlPr>
            </control>
          </mc:Choice>
        </mc:AlternateContent>
        <mc:AlternateContent xmlns:mc="http://schemas.openxmlformats.org/markup-compatibility/2006">
          <mc:Choice Requires="x14">
            <control shapeId="6238" r:id="rId41" name="Check Box 94">
              <controlPr defaultSize="0" autoFill="0" autoLine="0" autoPict="0">
                <anchor moveWithCells="1">
                  <from>
                    <xdr:col>13</xdr:col>
                    <xdr:colOff>0</xdr:colOff>
                    <xdr:row>37</xdr:row>
                    <xdr:rowOff>0</xdr:rowOff>
                  </from>
                  <to>
                    <xdr:col>14</xdr:col>
                    <xdr:colOff>0</xdr:colOff>
                    <xdr:row>38</xdr:row>
                    <xdr:rowOff>0</xdr:rowOff>
                  </to>
                </anchor>
              </controlPr>
            </control>
          </mc:Choice>
        </mc:AlternateContent>
        <mc:AlternateContent xmlns:mc="http://schemas.openxmlformats.org/markup-compatibility/2006">
          <mc:Choice Requires="x14">
            <control shapeId="6240" r:id="rId42" name="Check Box 96">
              <controlPr defaultSize="0" autoFill="0" autoLine="0" autoPict="0">
                <anchor moveWithCells="1">
                  <from>
                    <xdr:col>13</xdr:col>
                    <xdr:colOff>0</xdr:colOff>
                    <xdr:row>37</xdr:row>
                    <xdr:rowOff>297180</xdr:rowOff>
                  </from>
                  <to>
                    <xdr:col>14</xdr:col>
                    <xdr:colOff>0</xdr:colOff>
                    <xdr:row>38</xdr:row>
                    <xdr:rowOff>152400</xdr:rowOff>
                  </to>
                </anchor>
              </controlPr>
            </control>
          </mc:Choice>
        </mc:AlternateContent>
        <mc:AlternateContent xmlns:mc="http://schemas.openxmlformats.org/markup-compatibility/2006">
          <mc:Choice Requires="x14">
            <control shapeId="6241" r:id="rId43" name="Check Box 97">
              <controlPr defaultSize="0" autoFill="0" autoLine="0" autoPict="0">
                <anchor moveWithCells="1">
                  <from>
                    <xdr:col>13</xdr:col>
                    <xdr:colOff>0</xdr:colOff>
                    <xdr:row>38</xdr:row>
                    <xdr:rowOff>167640</xdr:rowOff>
                  </from>
                  <to>
                    <xdr:col>14</xdr:col>
                    <xdr:colOff>0</xdr:colOff>
                    <xdr:row>39</xdr:row>
                    <xdr:rowOff>182880</xdr:rowOff>
                  </to>
                </anchor>
              </controlPr>
            </control>
          </mc:Choice>
        </mc:AlternateContent>
        <mc:AlternateContent xmlns:mc="http://schemas.openxmlformats.org/markup-compatibility/2006">
          <mc:Choice Requires="x14">
            <control shapeId="6245" r:id="rId44" name="Check Box 101">
              <controlPr defaultSize="0" autoFill="0" autoLine="0" autoPict="0">
                <anchor moveWithCells="1">
                  <from>
                    <xdr:col>13</xdr:col>
                    <xdr:colOff>0</xdr:colOff>
                    <xdr:row>40</xdr:row>
                    <xdr:rowOff>167640</xdr:rowOff>
                  </from>
                  <to>
                    <xdr:col>14</xdr:col>
                    <xdr:colOff>0</xdr:colOff>
                    <xdr:row>41</xdr:row>
                    <xdr:rowOff>182880</xdr:rowOff>
                  </to>
                </anchor>
              </controlPr>
            </control>
          </mc:Choice>
        </mc:AlternateContent>
        <mc:AlternateContent xmlns:mc="http://schemas.openxmlformats.org/markup-compatibility/2006">
          <mc:Choice Requires="x14">
            <control shapeId="6246" r:id="rId45" name="Check Box 102">
              <controlPr defaultSize="0" autoFill="0" autoLine="0" autoPict="0">
                <anchor moveWithCells="1">
                  <from>
                    <xdr:col>13</xdr:col>
                    <xdr:colOff>0</xdr:colOff>
                    <xdr:row>41</xdr:row>
                    <xdr:rowOff>167640</xdr:rowOff>
                  </from>
                  <to>
                    <xdr:col>14</xdr:col>
                    <xdr:colOff>0</xdr:colOff>
                    <xdr:row>42</xdr:row>
                    <xdr:rowOff>182880</xdr:rowOff>
                  </to>
                </anchor>
              </controlPr>
            </control>
          </mc:Choice>
        </mc:AlternateContent>
        <mc:AlternateContent xmlns:mc="http://schemas.openxmlformats.org/markup-compatibility/2006">
          <mc:Choice Requires="x14">
            <control shapeId="6247" r:id="rId46" name="Check Box 103">
              <controlPr defaultSize="0" autoFill="0" autoLine="0" autoPict="0">
                <anchor moveWithCells="1">
                  <from>
                    <xdr:col>13</xdr:col>
                    <xdr:colOff>0</xdr:colOff>
                    <xdr:row>42</xdr:row>
                    <xdr:rowOff>167640</xdr:rowOff>
                  </from>
                  <to>
                    <xdr:col>14</xdr:col>
                    <xdr:colOff>0</xdr:colOff>
                    <xdr:row>43</xdr:row>
                    <xdr:rowOff>182880</xdr:rowOff>
                  </to>
                </anchor>
              </controlPr>
            </control>
          </mc:Choice>
        </mc:AlternateContent>
        <mc:AlternateContent xmlns:mc="http://schemas.openxmlformats.org/markup-compatibility/2006">
          <mc:Choice Requires="x14">
            <control shapeId="6248" r:id="rId47" name="Check Box 104">
              <controlPr defaultSize="0" autoFill="0" autoLine="0" autoPict="0">
                <anchor moveWithCells="1">
                  <from>
                    <xdr:col>13</xdr:col>
                    <xdr:colOff>0</xdr:colOff>
                    <xdr:row>43</xdr:row>
                    <xdr:rowOff>167640</xdr:rowOff>
                  </from>
                  <to>
                    <xdr:col>14</xdr:col>
                    <xdr:colOff>0</xdr:colOff>
                    <xdr:row>44</xdr:row>
                    <xdr:rowOff>182880</xdr:rowOff>
                  </to>
                </anchor>
              </controlPr>
            </control>
          </mc:Choice>
        </mc:AlternateContent>
        <mc:AlternateContent xmlns:mc="http://schemas.openxmlformats.org/markup-compatibility/2006">
          <mc:Choice Requires="x14">
            <control shapeId="6249" r:id="rId48" name="Check Box 105">
              <controlPr defaultSize="0" autoFill="0" autoLine="0" autoPict="0">
                <anchor moveWithCells="1">
                  <from>
                    <xdr:col>13</xdr:col>
                    <xdr:colOff>0</xdr:colOff>
                    <xdr:row>44</xdr:row>
                    <xdr:rowOff>167640</xdr:rowOff>
                  </from>
                  <to>
                    <xdr:col>14</xdr:col>
                    <xdr:colOff>0</xdr:colOff>
                    <xdr:row>45</xdr:row>
                    <xdr:rowOff>182880</xdr:rowOff>
                  </to>
                </anchor>
              </controlPr>
            </control>
          </mc:Choice>
        </mc:AlternateContent>
        <mc:AlternateContent xmlns:mc="http://schemas.openxmlformats.org/markup-compatibility/2006">
          <mc:Choice Requires="x14">
            <control shapeId="6250" r:id="rId49" name="Check Box 106">
              <controlPr defaultSize="0" autoFill="0" autoLine="0" autoPict="0">
                <anchor moveWithCells="1">
                  <from>
                    <xdr:col>13</xdr:col>
                    <xdr:colOff>0</xdr:colOff>
                    <xdr:row>45</xdr:row>
                    <xdr:rowOff>167640</xdr:rowOff>
                  </from>
                  <to>
                    <xdr:col>14</xdr:col>
                    <xdr:colOff>0</xdr:colOff>
                    <xdr:row>46</xdr:row>
                    <xdr:rowOff>182880</xdr:rowOff>
                  </to>
                </anchor>
              </controlPr>
            </control>
          </mc:Choice>
        </mc:AlternateContent>
        <mc:AlternateContent xmlns:mc="http://schemas.openxmlformats.org/markup-compatibility/2006">
          <mc:Choice Requires="x14">
            <control shapeId="6251" r:id="rId50" name="Check Box 107">
              <controlPr defaultSize="0" autoFill="0" autoLine="0" autoPict="0">
                <anchor moveWithCells="1">
                  <from>
                    <xdr:col>13</xdr:col>
                    <xdr:colOff>0</xdr:colOff>
                    <xdr:row>46</xdr:row>
                    <xdr:rowOff>167640</xdr:rowOff>
                  </from>
                  <to>
                    <xdr:col>14</xdr:col>
                    <xdr:colOff>0</xdr:colOff>
                    <xdr:row>47</xdr:row>
                    <xdr:rowOff>182880</xdr:rowOff>
                  </to>
                </anchor>
              </controlPr>
            </control>
          </mc:Choice>
        </mc:AlternateContent>
        <mc:AlternateContent xmlns:mc="http://schemas.openxmlformats.org/markup-compatibility/2006">
          <mc:Choice Requires="x14">
            <control shapeId="6252" r:id="rId51" name="Check Box 108">
              <controlPr defaultSize="0" autoFill="0" autoLine="0" autoPict="0">
                <anchor moveWithCells="1">
                  <from>
                    <xdr:col>13</xdr:col>
                    <xdr:colOff>0</xdr:colOff>
                    <xdr:row>47</xdr:row>
                    <xdr:rowOff>167640</xdr:rowOff>
                  </from>
                  <to>
                    <xdr:col>13</xdr:col>
                    <xdr:colOff>777240</xdr:colOff>
                    <xdr:row>49</xdr:row>
                    <xdr:rowOff>15240</xdr:rowOff>
                  </to>
                </anchor>
              </controlPr>
            </control>
          </mc:Choice>
        </mc:AlternateContent>
        <mc:AlternateContent xmlns:mc="http://schemas.openxmlformats.org/markup-compatibility/2006">
          <mc:Choice Requires="x14">
            <control shapeId="6255" r:id="rId52" name="Scroll Bar 111">
              <controlPr defaultSize="0" autoPict="0">
                <anchor moveWithCells="1">
                  <from>
                    <xdr:col>7</xdr:col>
                    <xdr:colOff>190500</xdr:colOff>
                    <xdr:row>22</xdr:row>
                    <xdr:rowOff>182880</xdr:rowOff>
                  </from>
                  <to>
                    <xdr:col>8</xdr:col>
                    <xdr:colOff>30480</xdr:colOff>
                    <xdr:row>23</xdr:row>
                    <xdr:rowOff>182880</xdr:rowOff>
                  </to>
                </anchor>
              </controlPr>
            </control>
          </mc:Choice>
        </mc:AlternateContent>
        <mc:AlternateContent xmlns:mc="http://schemas.openxmlformats.org/markup-compatibility/2006">
          <mc:Choice Requires="x14">
            <control shapeId="6256" r:id="rId53" name="Check Box 112">
              <controlPr defaultSize="0" autoFill="0" autoLine="0" autoPict="0">
                <anchor moveWithCells="1">
                  <from>
                    <xdr:col>13</xdr:col>
                    <xdr:colOff>0</xdr:colOff>
                    <xdr:row>48</xdr:row>
                    <xdr:rowOff>182880</xdr:rowOff>
                  </from>
                  <to>
                    <xdr:col>13</xdr:col>
                    <xdr:colOff>777240</xdr:colOff>
                    <xdr:row>50</xdr:row>
                    <xdr:rowOff>30480</xdr:rowOff>
                  </to>
                </anchor>
              </controlPr>
            </control>
          </mc:Choice>
        </mc:AlternateContent>
        <mc:AlternateContent xmlns:mc="http://schemas.openxmlformats.org/markup-compatibility/2006">
          <mc:Choice Requires="x14">
            <control shapeId="6257" r:id="rId54" name="Check Box 113">
              <controlPr defaultSize="0" autoFill="0" autoLine="0" autoPict="0">
                <anchor moveWithCells="1">
                  <from>
                    <xdr:col>13</xdr:col>
                    <xdr:colOff>15240</xdr:colOff>
                    <xdr:row>49</xdr:row>
                    <xdr:rowOff>182880</xdr:rowOff>
                  </from>
                  <to>
                    <xdr:col>14</xdr:col>
                    <xdr:colOff>15240</xdr:colOff>
                    <xdr:row>51</xdr:row>
                    <xdr:rowOff>0</xdr:rowOff>
                  </to>
                </anchor>
              </controlPr>
            </control>
          </mc:Choice>
        </mc:AlternateContent>
        <mc:AlternateContent xmlns:mc="http://schemas.openxmlformats.org/markup-compatibility/2006">
          <mc:Choice Requires="x14">
            <control shapeId="6258" r:id="rId55" name="Check Box 114">
              <controlPr defaultSize="0" autoFill="0" autoLine="0" autoPict="0">
                <anchor moveWithCells="1">
                  <from>
                    <xdr:col>13</xdr:col>
                    <xdr:colOff>15240</xdr:colOff>
                    <xdr:row>50</xdr:row>
                    <xdr:rowOff>182880</xdr:rowOff>
                  </from>
                  <to>
                    <xdr:col>14</xdr:col>
                    <xdr:colOff>15240</xdr:colOff>
                    <xdr:row>52</xdr:row>
                    <xdr:rowOff>0</xdr:rowOff>
                  </to>
                </anchor>
              </controlPr>
            </control>
          </mc:Choice>
        </mc:AlternateContent>
        <mc:AlternateContent xmlns:mc="http://schemas.openxmlformats.org/markup-compatibility/2006">
          <mc:Choice Requires="x14">
            <control shapeId="6259" r:id="rId56" name="Check Box 115">
              <controlPr defaultSize="0" autoFill="0" autoLine="0" autoPict="0">
                <anchor moveWithCells="1">
                  <from>
                    <xdr:col>13</xdr:col>
                    <xdr:colOff>15240</xdr:colOff>
                    <xdr:row>51</xdr:row>
                    <xdr:rowOff>182880</xdr:rowOff>
                  </from>
                  <to>
                    <xdr:col>14</xdr:col>
                    <xdr:colOff>15240</xdr:colOff>
                    <xdr:row>53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40" operator="equal" id="{A6F88E71-9C23-4B1D-B920-B2075180A80D}">
            <xm:f>'Data Analysis'!#REF!</xm:f>
            <x14:dxf>
              <font>
                <color theme="0"/>
              </font>
              <fill>
                <gradientFill type="path">
                  <stop position="0">
                    <color theme="0"/>
                  </stop>
                  <stop position="1">
                    <color rgb="FFC00000"/>
                  </stop>
                </gradientFill>
              </fill>
              <border>
                <top style="thin">
                  <color auto="1"/>
                </top>
                <bottom style="thin">
                  <color auto="1"/>
                </bottom>
                <vertical/>
                <horizontal/>
              </border>
            </x14:dxf>
          </x14:cfRule>
          <xm:sqref>M5:M7 M32:M34 M20:M24 M17 M26:M27 M29:M30 M10:M15</xm:sqref>
        </x14:conditionalFormatting>
        <x14:conditionalFormatting xmlns:xm="http://schemas.microsoft.com/office/excel/2006/main">
          <x14:cfRule type="cellIs" priority="263" operator="equal" id="{4E9E2663-AB15-4D86-A22C-0A583730FFF5}">
            <xm:f>'Data Analysis'!#REF!</xm:f>
            <x14:dxf>
              <font>
                <color theme="0"/>
              </font>
              <fill>
                <patternFill patternType="gray0625">
                  <bgColor theme="1" tint="0.24994659260841701"/>
                </patternFill>
              </fill>
              <border>
                <top/>
                <bottom style="dashDotDot">
                  <color theme="0"/>
                </bottom>
                <vertical/>
                <horizontal/>
              </border>
            </x14:dxf>
          </x14:cfRule>
          <xm:sqref>N29:N30 N32:N34 N5:N8 N10:N15 N17 N26:N27</xm:sqref>
        </x14:conditionalFormatting>
        <x14:conditionalFormatting xmlns:xm="http://schemas.microsoft.com/office/excel/2006/main">
          <x14:cfRule type="cellIs" priority="268" operator="equal" id="{4858264F-A27E-40C8-86B2-26943EC964A7}">
            <xm:f>'Data Analysis'!#REF!</xm:f>
            <x14:dxf>
              <fill>
                <gradientFill type="path" left="0.5" right="0.5" top="0.5" bottom="0.5">
                  <stop position="0">
                    <color theme="0"/>
                  </stop>
                  <stop position="1">
                    <color rgb="FFC00000"/>
                  </stop>
                </gradientFill>
              </fill>
            </x14:dxf>
          </x14:cfRule>
          <xm:sqref>M5:M8 M32:M34 M20:M24 M17 M26:M27 M29:M30 M10:M15</xm:sqref>
        </x14:conditionalFormatting>
        <x14:conditionalFormatting xmlns:xm="http://schemas.microsoft.com/office/excel/2006/main">
          <x14:cfRule type="cellIs" priority="81" operator="equal" id="{73F879FC-7AC5-42A5-95E5-191639E4A4BA}">
            <xm:f>'Data Analysis'!#REF!</xm:f>
            <x14:dxf>
              <font>
                <color theme="0"/>
              </font>
              <fill>
                <gradientFill type="path">
                  <stop position="0">
                    <color theme="0"/>
                  </stop>
                  <stop position="1">
                    <color rgb="FFC00000"/>
                  </stop>
                </gradientFill>
              </fill>
              <border>
                <top style="thin">
                  <color auto="1"/>
                </top>
                <bottom style="thin">
                  <color auto="1"/>
                </bottom>
                <vertical/>
                <horizontal/>
              </border>
            </x14:dxf>
          </x14:cfRule>
          <xm:sqref>M18</xm:sqref>
        </x14:conditionalFormatting>
        <x14:conditionalFormatting xmlns:xm="http://schemas.microsoft.com/office/excel/2006/main">
          <x14:cfRule type="cellIs" priority="83" operator="equal" id="{32E3C7AF-9158-4DEB-834E-8CD5E66E7EFE}">
            <xm:f>'Data Analysis'!#REF!</xm:f>
            <x14:dxf>
              <fill>
                <gradientFill type="path" left="0.5" right="0.5" top="0.5" bottom="0.5">
                  <stop position="0">
                    <color theme="0"/>
                  </stop>
                  <stop position="1">
                    <color rgb="FFC00000"/>
                  </stop>
                </gradientFill>
              </fill>
            </x14:dxf>
          </x14:cfRule>
          <xm:sqref>M18</xm:sqref>
        </x14:conditionalFormatting>
        <x14:conditionalFormatting xmlns:xm="http://schemas.microsoft.com/office/excel/2006/main">
          <x14:cfRule type="cellIs" priority="76" operator="equal" id="{B13D4B64-6BEB-4F10-8BFF-319703038DE5}">
            <xm:f>'Data Analysis'!#REF!</xm:f>
            <x14:dxf>
              <font>
                <color theme="0"/>
              </font>
              <fill>
                <gradientFill type="path">
                  <stop position="0">
                    <color theme="0"/>
                  </stop>
                  <stop position="1">
                    <color rgb="FFC00000"/>
                  </stop>
                </gradientFill>
              </fill>
              <border>
                <top style="thin">
                  <color auto="1"/>
                </top>
                <bottom style="thin">
                  <color auto="1"/>
                </bottom>
                <vertical/>
                <horizontal/>
              </border>
            </x14:dxf>
          </x14:cfRule>
          <xm:sqref>M19</xm:sqref>
        </x14:conditionalFormatting>
        <x14:conditionalFormatting xmlns:xm="http://schemas.microsoft.com/office/excel/2006/main">
          <x14:cfRule type="cellIs" priority="78" operator="equal" id="{82F2EF98-529F-4AE6-BDE4-0CD88E883EA6}">
            <xm:f>'Data Analysis'!#REF!</xm:f>
            <x14:dxf>
              <fill>
                <gradientFill type="path" left="0.5" right="0.5" top="0.5" bottom="0.5">
                  <stop position="0">
                    <color theme="0"/>
                  </stop>
                  <stop position="1">
                    <color rgb="FFC00000"/>
                  </stop>
                </gradientFill>
              </fill>
            </x14:dxf>
          </x14:cfRule>
          <xm:sqref>M19</xm:sqref>
        </x14:conditionalFormatting>
        <x14:conditionalFormatting xmlns:xm="http://schemas.microsoft.com/office/excel/2006/main">
          <x14:cfRule type="cellIs" priority="74" operator="equal" id="{2823A32B-F969-4474-BB21-2FD335816B22}">
            <xm:f>'Data Analysis'!#REF!</xm:f>
            <x14:dxf>
              <font>
                <color theme="0"/>
              </font>
              <fill>
                <patternFill patternType="gray0625">
                  <bgColor theme="1" tint="0.24994659260841701"/>
                </patternFill>
              </fill>
              <border>
                <top/>
                <bottom style="dashDotDot">
                  <color theme="0"/>
                </bottom>
                <vertical/>
                <horizontal/>
              </border>
            </x14:dxf>
          </x14:cfRule>
          <xm:sqref>N18:N24</xm:sqref>
        </x14:conditionalFormatting>
        <x14:conditionalFormatting xmlns:xm="http://schemas.microsoft.com/office/excel/2006/main">
          <x14:cfRule type="expression" priority="53" id="{0D2163FA-ED0D-44A0-914C-DE7D50B0DE3E}">
            <xm:f>'Data Analysis'!E249=1</xm:f>
            <x14:dxf>
              <font>
                <color rgb="FFC00000"/>
              </font>
            </x14:dxf>
          </x14:cfRule>
          <xm:sqref>H44:I48 J42:J48 M42:M48 K44:L48 C38:E40 H38:L40 F39:G40 H49:M53 C42:D53</xm:sqref>
        </x14:conditionalFormatting>
        <x14:conditionalFormatting xmlns:xm="http://schemas.microsoft.com/office/excel/2006/main">
          <x14:cfRule type="expression" priority="503" id="{0D2163FA-ED0D-44A0-914C-DE7D50B0DE3E}">
            <xm:f>'Data Analysis'!H249=1</xm:f>
            <x14:dxf>
              <font>
                <color rgb="FFC00000"/>
              </font>
            </x14:dxf>
          </x14:cfRule>
          <xm:sqref>F38 E42:F53</xm:sqref>
        </x14:conditionalFormatting>
        <x14:conditionalFormatting xmlns:xm="http://schemas.microsoft.com/office/excel/2006/main">
          <x14:cfRule type="expression" priority="504" id="{0D2163FA-ED0D-44A0-914C-DE7D50B0DE3E}">
            <xm:f>'Data Analysis'!#REF!=1</xm:f>
            <x14:dxf>
              <font>
                <color rgb="FFC00000"/>
              </font>
            </x14:dxf>
          </x14:cfRule>
          <xm:sqref>G42:G48</xm:sqref>
        </x14:conditionalFormatting>
        <x14:conditionalFormatting xmlns:xm="http://schemas.microsoft.com/office/excel/2006/main">
          <x14:cfRule type="expression" priority="584" id="{0D2163FA-ED0D-44A0-914C-DE7D50B0DE3E}">
            <xm:f>'Data Analysis'!#REF!=1</xm:f>
            <x14:dxf>
              <font>
                <color rgb="FFC00000"/>
              </font>
            </x14:dxf>
          </x14:cfRule>
          <xm:sqref>K42:L43</xm:sqref>
        </x14:conditionalFormatting>
        <x14:conditionalFormatting xmlns:xm="http://schemas.microsoft.com/office/excel/2006/main">
          <x14:cfRule type="expression" priority="615" id="{0D2163FA-ED0D-44A0-914C-DE7D50B0DE3E}">
            <xm:f>'Data Analysis'!J266=1</xm:f>
            <x14:dxf>
              <font>
                <color rgb="FFC00000"/>
              </font>
            </x14:dxf>
          </x14:cfRule>
          <xm:sqref>H42:I43</xm:sqref>
        </x14:conditionalFormatting>
        <x14:conditionalFormatting xmlns:xm="http://schemas.microsoft.com/office/excel/2006/main">
          <x14:cfRule type="expression" priority="654" id="{0D2163FA-ED0D-44A0-914C-DE7D50B0DE3E}">
            <xm:f>'Data Analysis'!#REF!=1</xm:f>
            <x14:dxf>
              <font>
                <color rgb="FFC00000"/>
              </font>
            </x14:dxf>
          </x14:cfRule>
          <xm:sqref>G38</xm:sqref>
        </x14:conditionalFormatting>
        <x14:conditionalFormatting xmlns:xm="http://schemas.microsoft.com/office/excel/2006/main">
          <x14:cfRule type="expression" priority="30" id="{A66C608E-6BF1-474F-8EAD-2DC96C07855F}">
            <xm:f>'Data Analysis'!#REF!=1</xm:f>
            <x14:dxf>
              <font>
                <color rgb="FFC00000"/>
              </font>
            </x14:dxf>
          </x14:cfRule>
          <xm:sqref>G50:G52</xm:sqref>
        </x14:conditionalFormatting>
        <x14:conditionalFormatting xmlns:xm="http://schemas.microsoft.com/office/excel/2006/main">
          <x14:cfRule type="expression" priority="10" id="{BD5BD49F-B44A-4E88-96D5-81ABDD280150}">
            <xm:f>'Data Analysis'!#REF!=1</xm:f>
            <x14:dxf>
              <font>
                <color rgb="FFC00000"/>
              </font>
            </x14:dxf>
          </x14:cfRule>
          <xm:sqref>G53</xm:sqref>
        </x14:conditionalFormatting>
        <x14:conditionalFormatting xmlns:xm="http://schemas.microsoft.com/office/excel/2006/main">
          <x14:cfRule type="expression" priority="1" id="{D000378A-8E5F-4F39-8722-04473D193D65}">
            <xm:f>'Data Analysis'!#REF!=1</xm:f>
            <x14:dxf>
              <font>
                <color rgb="FFC00000"/>
              </font>
            </x14:dxf>
          </x14:cfRule>
          <xm:sqref>G49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rgb="FFC00000"/>
  </sheetPr>
  <dimension ref="A1:BF503"/>
  <sheetViews>
    <sheetView topLeftCell="A7" zoomScale="80" zoomScaleNormal="80" workbookViewId="0">
      <selection activeCell="A45" sqref="A45"/>
    </sheetView>
  </sheetViews>
  <sheetFormatPr defaultColWidth="9.21875" defaultRowHeight="14.4" x14ac:dyDescent="0.3"/>
  <cols>
    <col min="1" max="1" width="12" style="540" customWidth="1"/>
    <col min="2" max="2" width="11.21875" style="540" customWidth="1"/>
    <col min="3" max="3" width="77.44140625" style="540" customWidth="1"/>
    <col min="4" max="4" width="18.5546875" style="540" customWidth="1"/>
    <col min="5" max="5" width="23.77734375" style="540" customWidth="1"/>
    <col min="6" max="6" width="14.44140625" style="540" customWidth="1"/>
    <col min="7" max="7" width="14.21875" style="540" customWidth="1"/>
    <col min="8" max="8" width="11.44140625" style="540" customWidth="1"/>
    <col min="9" max="9" width="29.21875" style="540" customWidth="1"/>
    <col min="10" max="10" width="13" style="540" customWidth="1"/>
    <col min="11" max="11" width="16.5546875" style="540" customWidth="1"/>
    <col min="12" max="12" width="18.21875" style="540" customWidth="1"/>
    <col min="13" max="13" width="14.5546875" style="540" bestFit="1" customWidth="1"/>
    <col min="14" max="14" width="12.77734375" style="540" customWidth="1"/>
    <col min="15" max="15" width="12.21875" style="540" customWidth="1"/>
    <col min="16" max="17" width="57.44140625" style="540" customWidth="1"/>
    <col min="18" max="18" width="30.77734375" style="540" customWidth="1"/>
    <col min="19" max="19" width="19.5546875" style="556" customWidth="1"/>
    <col min="20" max="20" width="9.77734375" style="556" bestFit="1" customWidth="1"/>
    <col min="21" max="21" width="17.44140625" style="556" customWidth="1"/>
    <col min="22" max="22" width="54.5546875" style="556" customWidth="1"/>
    <col min="23" max="23" width="21.44140625" style="556" customWidth="1"/>
    <col min="24" max="24" width="5.5546875" style="556" customWidth="1"/>
    <col min="25" max="25" width="28.77734375" style="556" customWidth="1"/>
    <col min="26" max="26" width="5.5546875" style="556" customWidth="1"/>
    <col min="27" max="27" width="17.21875" style="556" customWidth="1"/>
    <col min="28" max="28" width="30.5546875" style="556" bestFit="1" customWidth="1"/>
    <col min="29" max="29" width="22.5546875" style="556" customWidth="1"/>
    <col min="30" max="30" width="23.77734375" style="556" customWidth="1"/>
    <col min="31" max="31" width="15.44140625" style="556" customWidth="1"/>
    <col min="32" max="32" width="8.44140625" style="556" customWidth="1"/>
    <col min="33" max="33" width="10" style="556" customWidth="1"/>
    <col min="34" max="34" width="29.21875" style="556" customWidth="1"/>
    <col min="35" max="36" width="8.44140625" style="556" customWidth="1"/>
    <col min="37" max="37" width="9.21875" style="556" customWidth="1"/>
    <col min="38" max="38" width="13" style="556" customWidth="1"/>
    <col min="39" max="39" width="9.21875" style="556"/>
    <col min="40" max="40" width="114.77734375" style="556" customWidth="1"/>
    <col min="41" max="49" width="9.21875" style="556"/>
    <col min="50" max="56" width="22" style="556" customWidth="1"/>
    <col min="57" max="57" width="9.21875" style="556"/>
    <col min="58" max="58" width="18.5546875" style="556" customWidth="1"/>
    <col min="59" max="59" width="9.21875" style="556"/>
    <col min="60" max="60" width="9.21875" style="556" customWidth="1"/>
    <col min="61" max="107" width="9.21875" style="556"/>
    <col min="108" max="108" width="17.5546875" style="556" bestFit="1" customWidth="1"/>
    <col min="109" max="109" width="17.77734375" style="556" bestFit="1" customWidth="1"/>
    <col min="110" max="110" width="11.5546875" style="556" bestFit="1" customWidth="1"/>
    <col min="111" max="111" width="25.44140625" style="556" bestFit="1" customWidth="1"/>
    <col min="112" max="16384" width="9.21875" style="556"/>
  </cols>
  <sheetData>
    <row r="1" spans="1:57" s="791" customFormat="1" ht="25.2" x14ac:dyDescent="0.45">
      <c r="A1" s="1314" t="s">
        <v>510</v>
      </c>
    </row>
    <row r="2" spans="1:57" x14ac:dyDescent="0.3">
      <c r="BE2" s="706"/>
    </row>
    <row r="3" spans="1:57" x14ac:dyDescent="0.3">
      <c r="BE3" s="706"/>
    </row>
    <row r="4" spans="1:57" x14ac:dyDescent="0.3">
      <c r="C4" s="792" t="s">
        <v>358</v>
      </c>
      <c r="D4" s="942" t="s">
        <v>357</v>
      </c>
      <c r="E4" s="942"/>
      <c r="BE4" s="706"/>
    </row>
    <row r="5" spans="1:57" x14ac:dyDescent="0.3">
      <c r="C5" s="792" t="s">
        <v>501</v>
      </c>
      <c r="D5" s="1348" t="s">
        <v>502</v>
      </c>
      <c r="E5" s="1348"/>
      <c r="BE5" s="706"/>
    </row>
    <row r="6" spans="1:57" x14ac:dyDescent="0.3">
      <c r="C6" s="792" t="s">
        <v>528</v>
      </c>
      <c r="D6" s="1359" t="s">
        <v>529</v>
      </c>
      <c r="E6" s="1359"/>
      <c r="BE6" s="706"/>
    </row>
    <row r="7" spans="1:57" x14ac:dyDescent="0.3">
      <c r="C7" s="1153"/>
      <c r="D7" s="1154"/>
      <c r="BE7" s="706"/>
    </row>
    <row r="8" spans="1:57" s="706" customFormat="1" ht="21" x14ac:dyDescent="0.4">
      <c r="A8" s="1350" t="s">
        <v>521</v>
      </c>
      <c r="B8" s="1350"/>
      <c r="C8" s="1350"/>
      <c r="D8" s="1350" t="s">
        <v>520</v>
      </c>
      <c r="E8" s="1355" t="s">
        <v>520</v>
      </c>
      <c r="F8" s="1355" t="s">
        <v>520</v>
      </c>
      <c r="G8" s="1355" t="s">
        <v>520</v>
      </c>
      <c r="H8" s="1350" t="s">
        <v>511</v>
      </c>
      <c r="I8" s="542"/>
      <c r="J8" s="542"/>
      <c r="K8" s="542"/>
      <c r="L8" s="542"/>
      <c r="M8" s="542"/>
      <c r="N8" s="542"/>
      <c r="O8" s="542"/>
      <c r="P8" s="542"/>
      <c r="Q8" s="542"/>
      <c r="R8" s="542"/>
    </row>
    <row r="9" spans="1:57" ht="15" thickBot="1" x14ac:dyDescent="0.35">
      <c r="C9" s="1153"/>
      <c r="D9" s="1154"/>
      <c r="BE9" s="706"/>
    </row>
    <row r="10" spans="1:57" ht="29.4" thickBot="1" x14ac:dyDescent="0.35">
      <c r="A10" s="837" t="str">
        <f>'I.Strategic Suitability'!$C$1</f>
        <v>I. Strategic Suitability</v>
      </c>
      <c r="B10" s="837" t="s">
        <v>47</v>
      </c>
      <c r="C10" s="1318" t="s">
        <v>326</v>
      </c>
      <c r="D10" s="1342" t="s">
        <v>279</v>
      </c>
      <c r="E10" s="1342" t="s">
        <v>500</v>
      </c>
      <c r="H10" s="1426" t="s">
        <v>31</v>
      </c>
      <c r="I10" s="1427" t="s">
        <v>516</v>
      </c>
      <c r="J10" s="1428" t="s">
        <v>517</v>
      </c>
      <c r="K10" s="1428" t="s">
        <v>433</v>
      </c>
      <c r="BE10" s="706"/>
    </row>
    <row r="11" spans="1:57" ht="43.2" x14ac:dyDescent="0.3">
      <c r="A11" s="1322">
        <v>1</v>
      </c>
      <c r="B11" s="2066" t="str">
        <f>$C$276</f>
        <v>Alignment with government priorities</v>
      </c>
      <c r="C11" s="2059" t="str">
        <f>C277</f>
        <v>Is the project derived from a national plan or other medium- to long-term strategic document that establishes the development priorities at the highest levels of the government?</v>
      </c>
      <c r="D11" s="1343">
        <v>0.33329999999999999</v>
      </c>
      <c r="E11" s="2497">
        <f>SUM(D11:D13)</f>
        <v>1</v>
      </c>
      <c r="H11" s="1351" t="s">
        <v>512</v>
      </c>
      <c r="I11" s="1385" t="s">
        <v>418</v>
      </c>
      <c r="J11" s="1353">
        <v>0.7</v>
      </c>
      <c r="K11" s="1387">
        <f t="shared" ref="K11:K16" si="0">1-J11</f>
        <v>0.30000000000000004</v>
      </c>
      <c r="BE11" s="706"/>
    </row>
    <row r="12" spans="1:57" ht="28.8" x14ac:dyDescent="0.3">
      <c r="A12" s="1323">
        <f t="shared" ref="A12:A22" si="1">A11+1</f>
        <v>2</v>
      </c>
      <c r="B12" s="2067" t="str">
        <f>$C$276</f>
        <v>Alignment with government priorities</v>
      </c>
      <c r="C12" s="1334" t="str">
        <f>C278</f>
        <v>Does the project have high strategic importance for the region and could it enable significant private sector investments in the economic development of the region?</v>
      </c>
      <c r="D12" s="1344">
        <v>0.33329999999999999</v>
      </c>
      <c r="E12" s="2498"/>
      <c r="H12" s="1351" t="s">
        <v>513</v>
      </c>
      <c r="I12" s="1385" t="s">
        <v>435</v>
      </c>
      <c r="J12" s="1353">
        <v>0.5</v>
      </c>
      <c r="K12" s="1387">
        <f t="shared" si="0"/>
        <v>0.5</v>
      </c>
      <c r="BE12" s="706"/>
    </row>
    <row r="13" spans="1:57" ht="29.4" thickBot="1" x14ac:dyDescent="0.35">
      <c r="A13" s="1323">
        <f t="shared" si="1"/>
        <v>3</v>
      </c>
      <c r="B13" s="2068" t="str">
        <f>$C$276</f>
        <v>Alignment with government priorities</v>
      </c>
      <c r="C13" s="2056" t="str">
        <f>C279</f>
        <v>Will the project lead to an improvement in the quality of life of the citizens? For example, by way of reduced cost of living or improved liveability for the citizens.</v>
      </c>
      <c r="D13" s="1345">
        <v>0.33339999999999997</v>
      </c>
      <c r="E13" s="2499"/>
      <c r="H13" s="1351" t="s">
        <v>514</v>
      </c>
      <c r="I13" s="1385" t="s">
        <v>519</v>
      </c>
      <c r="J13" s="1353">
        <v>0.5</v>
      </c>
      <c r="K13" s="1387">
        <f t="shared" si="0"/>
        <v>0.5</v>
      </c>
      <c r="BE13" s="706"/>
    </row>
    <row r="14" spans="1:57" ht="28.8" x14ac:dyDescent="0.3">
      <c r="A14" s="1322">
        <f t="shared" si="1"/>
        <v>4</v>
      </c>
      <c r="B14" s="2066" t="str">
        <f>$C$281</f>
        <v>Identification of service need</v>
      </c>
      <c r="C14" s="2060" t="str">
        <f>C282</f>
        <v>Is there clear articulation and substantiation of the service deficiency?</v>
      </c>
      <c r="D14" s="1343">
        <v>0.5</v>
      </c>
      <c r="E14" s="2500">
        <f>SUM(D14:D16)</f>
        <v>1</v>
      </c>
      <c r="H14" s="1351" t="s">
        <v>515</v>
      </c>
      <c r="I14" s="1385" t="s">
        <v>518</v>
      </c>
      <c r="J14" s="1353">
        <v>0.67</v>
      </c>
      <c r="K14" s="1387">
        <f t="shared" si="0"/>
        <v>0.32999999999999996</v>
      </c>
      <c r="BE14" s="706"/>
    </row>
    <row r="15" spans="1:57" x14ac:dyDescent="0.3">
      <c r="A15" s="1323">
        <f t="shared" si="1"/>
        <v>5</v>
      </c>
      <c r="B15" s="2067" t="str">
        <f>$C$281</f>
        <v>Identification of service need</v>
      </c>
      <c r="C15" s="1334" t="str">
        <f>C283</f>
        <v>Is the desired service outcome well defined and can it be used to scope out the project?</v>
      </c>
      <c r="D15" s="1344">
        <v>0.25</v>
      </c>
      <c r="E15" s="2501"/>
      <c r="H15" s="1351" t="s">
        <v>523</v>
      </c>
      <c r="I15" s="1385" t="s">
        <v>522</v>
      </c>
      <c r="J15" s="1353">
        <v>0.5</v>
      </c>
      <c r="K15" s="1387">
        <f t="shared" si="0"/>
        <v>0.5</v>
      </c>
      <c r="BE15" s="706"/>
    </row>
    <row r="16" spans="1:57" ht="29.4" thickBot="1" x14ac:dyDescent="0.35">
      <c r="A16" s="1324">
        <f t="shared" si="1"/>
        <v>6</v>
      </c>
      <c r="B16" s="2068" t="str">
        <f>$C$281</f>
        <v>Identification of service need</v>
      </c>
      <c r="C16" s="2056" t="str">
        <f>C284</f>
        <v>Is there a consensus on users’ and stakeholders’ expectations from the project?</v>
      </c>
      <c r="D16" s="1345">
        <v>0.25</v>
      </c>
      <c r="E16" s="2502"/>
      <c r="H16" s="1352" t="s">
        <v>627</v>
      </c>
      <c r="I16" s="1386" t="s">
        <v>590</v>
      </c>
      <c r="J16" s="1354">
        <v>0.5</v>
      </c>
      <c r="K16" s="1388">
        <f t="shared" si="0"/>
        <v>0.5</v>
      </c>
      <c r="BE16" s="706"/>
    </row>
    <row r="17" spans="1:57" ht="28.8" x14ac:dyDescent="0.3">
      <c r="A17" s="1322">
        <f t="shared" si="1"/>
        <v>7</v>
      </c>
      <c r="B17" s="2066" t="str">
        <f>$C$286</f>
        <v>Assessment of service delivery options</v>
      </c>
      <c r="C17" s="2060" t="str">
        <f>C287</f>
        <v>Has there been an assessment of all possible technical solutions to address the identified need?</v>
      </c>
      <c r="D17" s="1343">
        <v>0.7</v>
      </c>
      <c r="E17" s="2500">
        <f>SUM(D17:D18)</f>
        <v>1</v>
      </c>
      <c r="BE17" s="706"/>
    </row>
    <row r="18" spans="1:57" ht="29.4" thickBot="1" x14ac:dyDescent="0.35">
      <c r="A18" s="1324">
        <f t="shared" si="1"/>
        <v>8</v>
      </c>
      <c r="B18" s="2068" t="str">
        <f>$C$286</f>
        <v>Assessment of service delivery options</v>
      </c>
      <c r="C18" s="2056" t="str">
        <f>C288</f>
        <v>Does the technical solution clearly address the service need in a cost-effective and affordable manner?</v>
      </c>
      <c r="D18" s="1345">
        <v>0.3</v>
      </c>
      <c r="E18" s="2502"/>
      <c r="BE18" s="706"/>
    </row>
    <row r="19" spans="1:57" x14ac:dyDescent="0.3">
      <c r="A19" s="1322">
        <f t="shared" si="1"/>
        <v>9</v>
      </c>
      <c r="B19" s="2066" t="str">
        <f>$C$290</f>
        <v>Scoping of the project</v>
      </c>
      <c r="C19" s="2059" t="str">
        <f>C291</f>
        <v>Is there a clear description of the technical features of the project?</v>
      </c>
      <c r="D19" s="1343">
        <v>0.25</v>
      </c>
      <c r="E19" s="2500">
        <f>SUM(D19:D22)</f>
        <v>1</v>
      </c>
      <c r="BE19" s="706"/>
    </row>
    <row r="20" spans="1:57" x14ac:dyDescent="0.3">
      <c r="A20" s="1323">
        <f t="shared" si="1"/>
        <v>10</v>
      </c>
      <c r="B20" s="2067" t="str">
        <f>$C$290</f>
        <v>Scoping of the project</v>
      </c>
      <c r="C20" s="1334" t="str">
        <f>C292</f>
        <v>Is the user base identified for the project in terms of users, geography, growth trends, etc.?</v>
      </c>
      <c r="D20" s="1344">
        <v>0.25</v>
      </c>
      <c r="E20" s="2501"/>
      <c r="BE20" s="706"/>
    </row>
    <row r="21" spans="1:57" x14ac:dyDescent="0.3">
      <c r="A21" s="1323">
        <f t="shared" si="1"/>
        <v>11</v>
      </c>
      <c r="B21" s="2067" t="str">
        <f>$C$290</f>
        <v>Scoping of the project</v>
      </c>
      <c r="C21" s="1334" t="str">
        <f>C293</f>
        <v>Are the project outputs defined, measurable and verifiable?</v>
      </c>
      <c r="D21" s="1344">
        <v>0.25</v>
      </c>
      <c r="E21" s="2501"/>
      <c r="BE21" s="706"/>
    </row>
    <row r="22" spans="1:57" ht="15" thickBot="1" x14ac:dyDescent="0.35">
      <c r="A22" s="1324">
        <f t="shared" si="1"/>
        <v>12</v>
      </c>
      <c r="B22" s="2068" t="str">
        <f>$C$290</f>
        <v>Scoping of the project</v>
      </c>
      <c r="C22" s="2056" t="str">
        <f>C294</f>
        <v>Does the scoping cover the entire term of the project?</v>
      </c>
      <c r="D22" s="1345">
        <v>0.25</v>
      </c>
      <c r="E22" s="2502"/>
      <c r="BE22" s="706"/>
    </row>
    <row r="23" spans="1:57" x14ac:dyDescent="0.3">
      <c r="A23" s="542"/>
      <c r="B23" s="2069"/>
      <c r="C23" s="2061"/>
      <c r="D23" s="1346"/>
      <c r="E23" s="1346"/>
      <c r="BE23" s="706"/>
    </row>
    <row r="24" spans="1:57" ht="43.8" thickBot="1" x14ac:dyDescent="0.35">
      <c r="A24" s="837" t="str">
        <f>'II.Preliminary Feasibility'!D1</f>
        <v>II. Preliminary Feasibility</v>
      </c>
      <c r="B24" s="2070" t="s">
        <v>47</v>
      </c>
      <c r="C24" s="2062" t="s">
        <v>326</v>
      </c>
      <c r="D24" s="1342" t="s">
        <v>279</v>
      </c>
      <c r="E24" s="1342" t="s">
        <v>500</v>
      </c>
      <c r="BE24" s="706"/>
    </row>
    <row r="25" spans="1:57" ht="28.8" x14ac:dyDescent="0.3">
      <c r="A25" s="1319">
        <v>1</v>
      </c>
      <c r="B25" s="2066" t="str">
        <f>$C$301</f>
        <v>Technical Prefeasibility</v>
      </c>
      <c r="C25" s="2059" t="str">
        <f t="shared" ref="C25:C31" si="2">C302</f>
        <v>Is the project likely to be based on technology that has been proven commercially in similar environments previously?</v>
      </c>
      <c r="D25" s="1339">
        <v>0.1</v>
      </c>
      <c r="E25" s="2503">
        <f>SUM(D25:D31)</f>
        <v>1.0000000000000002</v>
      </c>
      <c r="BE25" s="706"/>
    </row>
    <row r="26" spans="1:57" x14ac:dyDescent="0.3">
      <c r="A26" s="1320">
        <f t="shared" ref="A26:A62" si="3">A25+1</f>
        <v>2</v>
      </c>
      <c r="B26" s="2067" t="str">
        <f>$C$301</f>
        <v>Technical Prefeasibility</v>
      </c>
      <c r="C26" s="1334" t="str">
        <f t="shared" si="2"/>
        <v>Is the project's scope of work comparable to other reference projects?</v>
      </c>
      <c r="D26" s="1340">
        <v>0.1</v>
      </c>
      <c r="E26" s="2504"/>
      <c r="BE26" s="706"/>
    </row>
    <row r="27" spans="1:57" x14ac:dyDescent="0.3">
      <c r="A27" s="1320">
        <f t="shared" si="3"/>
        <v>3</v>
      </c>
      <c r="B27" s="2067" t="str">
        <f>$C$301</f>
        <v>Technical Prefeasibility</v>
      </c>
      <c r="C27" s="2063" t="str">
        <f t="shared" si="2"/>
        <v>Are the technical cost estimates in line with required output specifications?</v>
      </c>
      <c r="D27" s="1344">
        <v>0.2</v>
      </c>
      <c r="E27" s="2504"/>
      <c r="BE27" s="706"/>
    </row>
    <row r="28" spans="1:57" x14ac:dyDescent="0.3">
      <c r="A28" s="1320">
        <f t="shared" si="3"/>
        <v>4</v>
      </c>
      <c r="B28" s="2067" t="str">
        <f>$C$301</f>
        <v>Technical Prefeasibility</v>
      </c>
      <c r="C28" s="2063" t="str">
        <f t="shared" si="2"/>
        <v>Are the life cycle costs for major components of the project reasonable and affordable?</v>
      </c>
      <c r="D28" s="1344">
        <v>0.2</v>
      </c>
      <c r="E28" s="2504"/>
      <c r="BE28" s="706"/>
    </row>
    <row r="29" spans="1:57" x14ac:dyDescent="0.3">
      <c r="A29" s="1320">
        <f t="shared" si="3"/>
        <v>5</v>
      </c>
      <c r="B29" s="2067" t="str">
        <f t="shared" ref="B29:B31" si="4">$C$301</f>
        <v>Technical Prefeasibility</v>
      </c>
      <c r="C29" s="1334" t="str">
        <f t="shared" si="2"/>
        <v>Has a site suitability assessment been completed for the proposed project site?</v>
      </c>
      <c r="D29" s="1340">
        <v>0.1</v>
      </c>
      <c r="E29" s="2504"/>
      <c r="BE29" s="706"/>
    </row>
    <row r="30" spans="1:57" ht="28.8" x14ac:dyDescent="0.3">
      <c r="A30" s="1320">
        <f t="shared" si="3"/>
        <v>6</v>
      </c>
      <c r="B30" s="2067" t="str">
        <f t="shared" si="4"/>
        <v>Technical Prefeasibility</v>
      </c>
      <c r="C30" s="2063" t="str">
        <f t="shared" si="2"/>
        <v>Is the proposed site accessible with any potential challenges during construction being manageable?</v>
      </c>
      <c r="D30" s="1344">
        <v>0.2</v>
      </c>
      <c r="E30" s="2504"/>
      <c r="BE30" s="706"/>
    </row>
    <row r="31" spans="1:57" ht="29.4" thickBot="1" x14ac:dyDescent="0.35">
      <c r="A31" s="1320">
        <f t="shared" si="3"/>
        <v>7</v>
      </c>
      <c r="B31" s="2067" t="str">
        <f t="shared" si="4"/>
        <v>Technical Prefeasibility</v>
      </c>
      <c r="C31" s="1334" t="str">
        <f t="shared" si="2"/>
        <v>Will the project be able to source the required skills, locally or from overseas, in relation to the project's Construction, Operations and Maintenance?</v>
      </c>
      <c r="D31" s="1340">
        <v>0.1</v>
      </c>
      <c r="E31" s="2504"/>
      <c r="BE31" s="706"/>
    </row>
    <row r="32" spans="1:57" x14ac:dyDescent="0.3">
      <c r="A32" s="1319">
        <f t="shared" si="3"/>
        <v>8</v>
      </c>
      <c r="B32" s="2066" t="str">
        <f t="shared" ref="B32:B37" si="5">$C$310</f>
        <v>Environmental Sustainability</v>
      </c>
      <c r="C32" s="2059" t="str">
        <f t="shared" ref="C32:C37" si="6">C311</f>
        <v xml:space="preserve">Is there a reliable initial environmental analysis related to the project? </v>
      </c>
      <c r="D32" s="1357">
        <v>0.15</v>
      </c>
      <c r="E32" s="2505">
        <f>SUM(D32:D37)</f>
        <v>1</v>
      </c>
      <c r="F32" s="541"/>
      <c r="BE32" s="706"/>
    </row>
    <row r="33" spans="1:57" ht="28.8" x14ac:dyDescent="0.3">
      <c r="A33" s="1320">
        <f t="shared" si="3"/>
        <v>9</v>
      </c>
      <c r="B33" s="2067" t="str">
        <f t="shared" si="5"/>
        <v>Environmental Sustainability</v>
      </c>
      <c r="C33" s="2063" t="str">
        <f t="shared" si="6"/>
        <v>Will the project have any significant negative impact on any natural resources or protected land?</v>
      </c>
      <c r="D33" s="1395">
        <v>0.25</v>
      </c>
      <c r="E33" s="2506"/>
      <c r="F33" s="541"/>
      <c r="BE33" s="706"/>
    </row>
    <row r="34" spans="1:57" ht="28.8" x14ac:dyDescent="0.3">
      <c r="A34" s="1320">
        <f t="shared" si="3"/>
        <v>10</v>
      </c>
      <c r="B34" s="2067" t="str">
        <f t="shared" si="5"/>
        <v>Environmental Sustainability</v>
      </c>
      <c r="C34" s="1334" t="str">
        <f t="shared" si="6"/>
        <v>Is the identified environmental management strategy, or its related approvals, likely to result in uncertainties or delays that could impede the implementation of the project?</v>
      </c>
      <c r="D34" s="1356">
        <v>0.15</v>
      </c>
      <c r="E34" s="2506"/>
      <c r="F34" s="541"/>
      <c r="BE34" s="706"/>
    </row>
    <row r="35" spans="1:57" ht="28.8" x14ac:dyDescent="0.3">
      <c r="A35" s="1320">
        <f t="shared" si="3"/>
        <v>11</v>
      </c>
      <c r="B35" s="2067" t="str">
        <f t="shared" si="5"/>
        <v>Environmental Sustainability</v>
      </c>
      <c r="C35" s="1334" t="str">
        <f t="shared" si="6"/>
        <v>Will the completed project likely be carbon neutral or net carbon negative, in terms of greenhouse gas emissions?</v>
      </c>
      <c r="D35" s="1356">
        <v>0.15</v>
      </c>
      <c r="E35" s="2506"/>
      <c r="F35" s="541"/>
      <c r="BE35" s="706"/>
    </row>
    <row r="36" spans="1:57" ht="43.2" x14ac:dyDescent="0.3">
      <c r="A36" s="1320">
        <f t="shared" si="3"/>
        <v>12</v>
      </c>
      <c r="B36" s="2067" t="str">
        <f t="shared" si="5"/>
        <v>Environmental Sustainability</v>
      </c>
      <c r="C36" s="1334" t="str">
        <f t="shared" si="6"/>
        <v>Will the design and systems of the project be resilient and adaptive to changes in climate conditions or other significant long-term changes in operational or environmental conditions?</v>
      </c>
      <c r="D36" s="1356">
        <v>0.15</v>
      </c>
      <c r="E36" s="2506"/>
      <c r="F36" s="541"/>
      <c r="BE36" s="706"/>
    </row>
    <row r="37" spans="1:57" ht="29.4" thickBot="1" x14ac:dyDescent="0.35">
      <c r="A37" s="1321">
        <f t="shared" si="3"/>
        <v>13</v>
      </c>
      <c r="B37" s="2068" t="str">
        <f t="shared" si="5"/>
        <v>Environmental Sustainability</v>
      </c>
      <c r="C37" s="2056" t="str">
        <f t="shared" si="6"/>
        <v>Will the project design suitably address the impact of potential natural or human-induced hazards in the region?</v>
      </c>
      <c r="D37" s="1358">
        <v>0.15</v>
      </c>
      <c r="E37" s="2507"/>
      <c r="F37" s="541"/>
      <c r="BE37" s="706"/>
    </row>
    <row r="38" spans="1:57" x14ac:dyDescent="0.3">
      <c r="A38" s="1319">
        <f t="shared" si="3"/>
        <v>14</v>
      </c>
      <c r="B38" s="2066" t="str">
        <f t="shared" ref="B38:B44" si="7">$C$318</f>
        <v>Social Sustainability</v>
      </c>
      <c r="C38" s="2059" t="str">
        <f t="shared" ref="C38:C44" si="8">C319</f>
        <v xml:space="preserve">Is there a reliable initial social analysis related to the project? </v>
      </c>
      <c r="D38" s="1357">
        <v>0.1</v>
      </c>
      <c r="E38" s="2505">
        <f>SUM(D38:D44)</f>
        <v>0.99999999999999989</v>
      </c>
      <c r="BE38" s="706"/>
    </row>
    <row r="39" spans="1:57" ht="28.8" x14ac:dyDescent="0.3">
      <c r="A39" s="1320">
        <f t="shared" si="3"/>
        <v>15</v>
      </c>
      <c r="B39" s="2067" t="str">
        <f t="shared" si="7"/>
        <v>Social Sustainability</v>
      </c>
      <c r="C39" s="2063" t="str">
        <f t="shared" si="8"/>
        <v xml:space="preserve">Will the project have a significant adverse impact on the health or quality of life of users, workers, or the local population? </v>
      </c>
      <c r="D39" s="1356">
        <v>0.2</v>
      </c>
      <c r="E39" s="2506"/>
      <c r="BE39" s="706"/>
    </row>
    <row r="40" spans="1:57" x14ac:dyDescent="0.3">
      <c r="A40" s="1320">
        <f t="shared" si="3"/>
        <v>16</v>
      </c>
      <c r="B40" s="2067" t="str">
        <f t="shared" si="7"/>
        <v>Social Sustainability</v>
      </c>
      <c r="C40" s="2063" t="str">
        <f t="shared" si="8"/>
        <v>Is the project likely to be socially sustainable or have manageable social impacts?</v>
      </c>
      <c r="D40" s="1356">
        <v>0.2</v>
      </c>
      <c r="E40" s="2506"/>
      <c r="BE40" s="706"/>
    </row>
    <row r="41" spans="1:57" x14ac:dyDescent="0.3">
      <c r="A41" s="1320">
        <f t="shared" si="3"/>
        <v>17</v>
      </c>
      <c r="B41" s="2067" t="str">
        <f t="shared" si="7"/>
        <v>Social Sustainability</v>
      </c>
      <c r="C41" s="1334" t="str">
        <f t="shared" si="8"/>
        <v>Does the project require land acquisition?</v>
      </c>
      <c r="D41" s="1356">
        <v>0.1</v>
      </c>
      <c r="E41" s="2506"/>
      <c r="BE41" s="706"/>
    </row>
    <row r="42" spans="1:57" ht="28.8" x14ac:dyDescent="0.3">
      <c r="A42" s="1320">
        <f t="shared" si="3"/>
        <v>18</v>
      </c>
      <c r="B42" s="2067" t="str">
        <f t="shared" si="7"/>
        <v>Social Sustainability</v>
      </c>
      <c r="C42" s="1334" t="str">
        <f t="shared" si="8"/>
        <v>Will the identified social management strategy, or its related approvals, result in uncertainties or delays that could impede project implementation?</v>
      </c>
      <c r="D42" s="1356">
        <v>0.1</v>
      </c>
      <c r="E42" s="2506"/>
      <c r="BE42" s="706"/>
    </row>
    <row r="43" spans="1:57" x14ac:dyDescent="0.3">
      <c r="A43" s="1320">
        <f t="shared" si="3"/>
        <v>19</v>
      </c>
      <c r="B43" s="2067" t="str">
        <f t="shared" si="7"/>
        <v>Social Sustainability</v>
      </c>
      <c r="C43" s="2063">
        <f t="shared" si="8"/>
        <v>0</v>
      </c>
      <c r="D43" s="1356">
        <v>0.2</v>
      </c>
      <c r="E43" s="2506"/>
      <c r="BE43" s="706"/>
    </row>
    <row r="44" spans="1:57" ht="15" thickBot="1" x14ac:dyDescent="0.35">
      <c r="A44" s="1321">
        <f t="shared" si="3"/>
        <v>20</v>
      </c>
      <c r="B44" s="2068" t="str">
        <f t="shared" si="7"/>
        <v>Social Sustainability</v>
      </c>
      <c r="C44" s="2056">
        <f t="shared" si="8"/>
        <v>0</v>
      </c>
      <c r="D44" s="1358">
        <v>0.1</v>
      </c>
      <c r="E44" s="2507"/>
      <c r="BE44" s="706"/>
    </row>
    <row r="45" spans="1:57" ht="28.8" x14ac:dyDescent="0.3">
      <c r="A45" s="1320">
        <f t="shared" si="3"/>
        <v>21</v>
      </c>
      <c r="B45" s="2067" t="str">
        <f>$C$327</f>
        <v>Economic Prefeasibility</v>
      </c>
      <c r="C45" s="1334" t="str">
        <f>C328</f>
        <v>Is the project likely to be economically sound and have direct benefits that are significantly greater than the costs?</v>
      </c>
      <c r="D45" s="1340">
        <v>0.25</v>
      </c>
      <c r="E45" s="2506">
        <f>SUM(D45:D48)</f>
        <v>1</v>
      </c>
      <c r="BE45" s="706"/>
    </row>
    <row r="46" spans="1:57" ht="28.8" x14ac:dyDescent="0.3">
      <c r="A46" s="1320">
        <f t="shared" si="3"/>
        <v>22</v>
      </c>
      <c r="B46" s="2067" t="str">
        <f>$C$327</f>
        <v>Economic Prefeasibility</v>
      </c>
      <c r="C46" s="1334" t="str">
        <f>C329</f>
        <v>Is the economic rate of return (ERR) likely to be higher than the threshold ERR requirements of the government?</v>
      </c>
      <c r="D46" s="1340">
        <v>0.25</v>
      </c>
      <c r="E46" s="2506"/>
      <c r="BE46" s="706"/>
    </row>
    <row r="47" spans="1:57" ht="28.8" x14ac:dyDescent="0.3">
      <c r="A47" s="1320">
        <f t="shared" si="3"/>
        <v>23</v>
      </c>
      <c r="B47" s="2067" t="str">
        <f>$C$327</f>
        <v>Economic Prefeasibility</v>
      </c>
      <c r="C47" s="1334" t="str">
        <f>C330</f>
        <v>Will communities within the area of influence of the project be able to share direct or indirect economic benefits from the project?</v>
      </c>
      <c r="D47" s="1340">
        <v>0.25</v>
      </c>
      <c r="E47" s="2506"/>
      <c r="BE47" s="706"/>
    </row>
    <row r="48" spans="1:57" ht="15" thickBot="1" x14ac:dyDescent="0.35">
      <c r="A48" s="1321">
        <f t="shared" si="3"/>
        <v>24</v>
      </c>
      <c r="B48" s="2068" t="str">
        <f>$C$327</f>
        <v>Economic Prefeasibility</v>
      </c>
      <c r="C48" s="2056">
        <f>C331</f>
        <v>0</v>
      </c>
      <c r="D48" s="1341">
        <v>0.25</v>
      </c>
      <c r="E48" s="2507"/>
      <c r="BE48" s="706"/>
    </row>
    <row r="49" spans="1:57" ht="28.8" x14ac:dyDescent="0.3">
      <c r="A49" s="1319">
        <f t="shared" si="3"/>
        <v>25</v>
      </c>
      <c r="B49" s="2066" t="str">
        <f t="shared" ref="B49:B57" si="9">$C$333</f>
        <v>Financial Prefeasibility</v>
      </c>
      <c r="C49" s="2059" t="str">
        <f t="shared" ref="C49:C57" si="10">C334</f>
        <v>Is there a preliminary financial analysis based on assessment of the net present value (NPV) or internal rate of return (IRR) of the project's cash flows?</v>
      </c>
      <c r="D49" s="1339">
        <f>1/9</f>
        <v>0.1111111111111111</v>
      </c>
      <c r="E49" s="2505">
        <f>SUM(D49:D57)</f>
        <v>1.0000000000000002</v>
      </c>
      <c r="BE49" s="706"/>
    </row>
    <row r="50" spans="1:57" ht="57.6" x14ac:dyDescent="0.3">
      <c r="A50" s="1320">
        <f t="shared" si="3"/>
        <v>26</v>
      </c>
      <c r="B50" s="2067" t="str">
        <f t="shared" si="9"/>
        <v>Financial Prefeasibility</v>
      </c>
      <c r="C50" s="1334" t="str">
        <f t="shared" si="10"/>
        <v>Are the revenue projections realistic? For example, revenues from user charges are based on user surveys or demand models with realistic assumptions and historical data; AND revenues from availability payments are backed by clear understanding from the counterparty agency or availability/capacity utilization factors based on realistic assumptions and historical data.</v>
      </c>
      <c r="D50" s="1340">
        <f t="shared" ref="D50:D57" si="11">1/9</f>
        <v>0.1111111111111111</v>
      </c>
      <c r="E50" s="2506"/>
      <c r="BE50" s="706"/>
    </row>
    <row r="51" spans="1:57" ht="28.8" x14ac:dyDescent="0.3">
      <c r="A51" s="1320">
        <f t="shared" si="3"/>
        <v>27</v>
      </c>
      <c r="B51" s="2067" t="str">
        <f t="shared" si="9"/>
        <v>Financial Prefeasibility</v>
      </c>
      <c r="C51" s="1334" t="str">
        <f t="shared" si="10"/>
        <v>Are the financing assumptions comparable to similar projects? Such as the debt-to-equity ratio, interest rate and tenure of debt, and cost of equity.</v>
      </c>
      <c r="D51" s="1340">
        <f t="shared" si="11"/>
        <v>0.1111111111111111</v>
      </c>
      <c r="E51" s="2506"/>
      <c r="BE51" s="706"/>
    </row>
    <row r="52" spans="1:57" x14ac:dyDescent="0.3">
      <c r="A52" s="1320">
        <f t="shared" si="3"/>
        <v>28</v>
      </c>
      <c r="B52" s="2067" t="str">
        <f t="shared" si="9"/>
        <v>Financial Prefeasibility</v>
      </c>
      <c r="C52" s="1334" t="str">
        <f t="shared" si="10"/>
        <v>Is the project likely to be financially viable?</v>
      </c>
      <c r="D52" s="1340">
        <f t="shared" si="11"/>
        <v>0.1111111111111111</v>
      </c>
      <c r="E52" s="2506"/>
      <c r="BE52" s="706"/>
    </row>
    <row r="53" spans="1:57" x14ac:dyDescent="0.3">
      <c r="A53" s="1320">
        <f t="shared" si="3"/>
        <v>29</v>
      </c>
      <c r="B53" s="2067" t="str">
        <f t="shared" si="9"/>
        <v>Financial Prefeasibility</v>
      </c>
      <c r="C53" s="1334" t="str">
        <f t="shared" ca="1" si="10"/>
        <v>Is the project IRR (post-tax) greater than the threshold rate?</v>
      </c>
      <c r="D53" s="1340">
        <f t="shared" si="11"/>
        <v>0.1111111111111111</v>
      </c>
      <c r="E53" s="2506"/>
      <c r="BE53" s="706"/>
    </row>
    <row r="54" spans="1:57" ht="28.8" x14ac:dyDescent="0.3">
      <c r="A54" s="1320">
        <f t="shared" si="3"/>
        <v>30</v>
      </c>
      <c r="B54" s="2067" t="str">
        <f t="shared" si="9"/>
        <v>Financial Prefeasibility</v>
      </c>
      <c r="C54" s="1334" t="str">
        <f t="shared" ca="1" si="10"/>
        <v>Will the project IRR (post-tax) remain greater than the threshold rate the stress (or low) case scenario?</v>
      </c>
      <c r="D54" s="1340">
        <f t="shared" si="11"/>
        <v>0.1111111111111111</v>
      </c>
      <c r="E54" s="2506"/>
      <c r="BE54" s="706"/>
    </row>
    <row r="55" spans="1:57" x14ac:dyDescent="0.3">
      <c r="A55" s="1320">
        <f t="shared" si="3"/>
        <v>31</v>
      </c>
      <c r="B55" s="2067" t="str">
        <f t="shared" si="9"/>
        <v>Financial Prefeasibility</v>
      </c>
      <c r="C55" s="1334" t="str">
        <f t="shared" ca="1" si="10"/>
        <v>Is the project's minimum DSCR greater than the threshold ratio for the duration of the loan?</v>
      </c>
      <c r="D55" s="1340">
        <f t="shared" si="11"/>
        <v>0.1111111111111111</v>
      </c>
      <c r="E55" s="2506"/>
      <c r="BE55" s="706"/>
    </row>
    <row r="56" spans="1:57" ht="28.8" x14ac:dyDescent="0.3">
      <c r="A56" s="1320">
        <f t="shared" si="3"/>
        <v>32</v>
      </c>
      <c r="B56" s="2067" t="str">
        <f t="shared" si="9"/>
        <v>Financial Prefeasibility</v>
      </c>
      <c r="C56" s="1334" t="str">
        <f t="shared" ca="1" si="10"/>
        <v>Will the project's minimum DSCR remain greater than the threshold ratio for the duration of the loan, in the stress (or low) case scenario?</v>
      </c>
      <c r="D56" s="1340">
        <f t="shared" si="11"/>
        <v>0.1111111111111111</v>
      </c>
      <c r="E56" s="2506"/>
      <c r="BE56" s="706"/>
    </row>
    <row r="57" spans="1:57" ht="15" thickBot="1" x14ac:dyDescent="0.35">
      <c r="A57" s="1321">
        <f t="shared" si="3"/>
        <v>33</v>
      </c>
      <c r="B57" s="2068" t="str">
        <f t="shared" si="9"/>
        <v>Financial Prefeasibility</v>
      </c>
      <c r="C57" s="2056">
        <f t="shared" ca="1" si="10"/>
        <v>0</v>
      </c>
      <c r="D57" s="1341">
        <f t="shared" si="11"/>
        <v>0.1111111111111111</v>
      </c>
      <c r="E57" s="2507"/>
      <c r="BE57" s="706"/>
    </row>
    <row r="58" spans="1:57" x14ac:dyDescent="0.3">
      <c r="A58" s="1319">
        <f t="shared" si="3"/>
        <v>34</v>
      </c>
      <c r="B58" s="2066" t="str">
        <f>$C$344</f>
        <v>Legal Prefeasibility</v>
      </c>
      <c r="C58" s="2059" t="str">
        <f>C345</f>
        <v>Do sector laws, regulations or policies allow private sector participation in the project?</v>
      </c>
      <c r="D58" s="1339">
        <v>0.17499999999999999</v>
      </c>
      <c r="E58" s="2505">
        <f>SUM(D58:D62)</f>
        <v>1</v>
      </c>
      <c r="BE58" s="706"/>
    </row>
    <row r="59" spans="1:57" ht="43.2" x14ac:dyDescent="0.3">
      <c r="A59" s="1320">
        <f t="shared" si="3"/>
        <v>35</v>
      </c>
      <c r="B59" s="2067" t="str">
        <f>$C$344</f>
        <v>Legal Prefeasibility</v>
      </c>
      <c r="C59" s="1334" t="str">
        <f>C346</f>
        <v>Is there a framework that provides adequate basis for establishing the hybrid revenue mechanism for the PPP project? This could include, a tariff-setting methodology and periodic review mechanism.</v>
      </c>
      <c r="D59" s="1340">
        <v>0.17499999999999999</v>
      </c>
      <c r="E59" s="2506"/>
      <c r="BE59" s="706"/>
    </row>
    <row r="60" spans="1:57" ht="28.8" x14ac:dyDescent="0.3">
      <c r="A60" s="1320">
        <f t="shared" si="3"/>
        <v>36</v>
      </c>
      <c r="B60" s="2067" t="str">
        <f>$C$344</f>
        <v>Legal Prefeasibility</v>
      </c>
      <c r="C60" s="1334" t="str">
        <f>C347</f>
        <v>Does the law confer enforceable rights such as, rights of substitution, step-in rights or other applicable remedies that enable the lenders to recover their outstanding loan amounts?</v>
      </c>
      <c r="D60" s="1340">
        <v>0.17499999999999999</v>
      </c>
      <c r="E60" s="2506"/>
      <c r="BE60" s="706"/>
    </row>
    <row r="61" spans="1:57" ht="28.8" x14ac:dyDescent="0.3">
      <c r="A61" s="1320">
        <f t="shared" si="3"/>
        <v>37</v>
      </c>
      <c r="B61" s="2067" t="str">
        <f>$C$344</f>
        <v>Legal Prefeasibility</v>
      </c>
      <c r="C61" s="1334" t="str">
        <f>C348</f>
        <v>Are there any restrictions on foreign exchange or capital movements that may limit the project’s access to finance?</v>
      </c>
      <c r="D61" s="1340">
        <v>0.17499999999999999</v>
      </c>
      <c r="E61" s="2506"/>
      <c r="BE61" s="706"/>
    </row>
    <row r="62" spans="1:57" ht="29.4" thickBot="1" x14ac:dyDescent="0.35">
      <c r="A62" s="1321">
        <f t="shared" si="3"/>
        <v>38</v>
      </c>
      <c r="B62" s="2068" t="str">
        <f>$C$344</f>
        <v>Legal Prefeasibility</v>
      </c>
      <c r="C62" s="2064" t="str">
        <f>C349</f>
        <v>If applicable, Is there a plan to address legal barriers through appropriate executive action or legislative reforms?</v>
      </c>
      <c r="D62" s="1341">
        <v>0.3</v>
      </c>
      <c r="E62" s="2507"/>
      <c r="BE62" s="706"/>
    </row>
    <row r="63" spans="1:57" x14ac:dyDescent="0.3">
      <c r="A63" s="542"/>
      <c r="B63" s="2069"/>
      <c r="C63" s="2061"/>
      <c r="D63" s="1346"/>
      <c r="E63" s="1349"/>
      <c r="BE63" s="706"/>
    </row>
    <row r="64" spans="1:57" ht="29.4" thickBot="1" x14ac:dyDescent="0.35">
      <c r="A64" s="837" t="str">
        <f>'III.Risk Assessment'!E1</f>
        <v>III. Risk Assessment</v>
      </c>
      <c r="B64" s="2070" t="s">
        <v>47</v>
      </c>
      <c r="C64" s="2062" t="s">
        <v>326</v>
      </c>
      <c r="D64" s="1342" t="s">
        <v>279</v>
      </c>
      <c r="E64" s="1342" t="s">
        <v>500</v>
      </c>
      <c r="BE64" s="706"/>
    </row>
    <row r="65" spans="1:57" x14ac:dyDescent="0.3">
      <c r="A65" s="1325">
        <v>1</v>
      </c>
      <c r="B65" s="2066" t="str">
        <f>$C$356</f>
        <v>Risk of delay in land acquisition</v>
      </c>
      <c r="C65" s="2059" t="str">
        <f t="shared" ref="C65:C71" si="12">C357</f>
        <v>If the public sector needs to acquire land, has it identified suitable parcel(s)?</v>
      </c>
      <c r="D65" s="1339">
        <f t="shared" ref="D65:D71" si="13">1/7</f>
        <v>0.14285714285714285</v>
      </c>
      <c r="E65" s="2505">
        <f>SUM(D65:D71)</f>
        <v>0.99999999999999978</v>
      </c>
      <c r="BE65" s="706"/>
    </row>
    <row r="66" spans="1:57" ht="28.8" x14ac:dyDescent="0.3">
      <c r="A66" s="1326">
        <f t="shared" ref="A66:A104" si="14">A65+1</f>
        <v>2</v>
      </c>
      <c r="B66" s="2067" t="str">
        <f>$C$356</f>
        <v>Risk of delay in land acquisition</v>
      </c>
      <c r="C66" s="1334" t="str">
        <f t="shared" si="12"/>
        <v>Has the government prepared or committed to prepare a fully-budgeted land acquisition plan?</v>
      </c>
      <c r="D66" s="1340">
        <f t="shared" si="13"/>
        <v>0.14285714285714285</v>
      </c>
      <c r="E66" s="2506"/>
      <c r="BE66" s="706"/>
    </row>
    <row r="67" spans="1:57" ht="28.8" x14ac:dyDescent="0.3">
      <c r="A67" s="1326">
        <f t="shared" si="14"/>
        <v>3</v>
      </c>
      <c r="B67" s="2067" t="str">
        <f>$C$356</f>
        <v>Risk of delay in land acquisition</v>
      </c>
      <c r="C67" s="1334" t="str">
        <f t="shared" si="12"/>
        <v xml:space="preserve">Will the PPP agreement have provision of 100% unencumbered land as a condition precedent? </v>
      </c>
      <c r="D67" s="1340">
        <f t="shared" si="13"/>
        <v>0.14285714285714285</v>
      </c>
      <c r="E67" s="2506"/>
      <c r="BE67" s="706"/>
    </row>
    <row r="68" spans="1:57" x14ac:dyDescent="0.3">
      <c r="A68" s="1326">
        <f t="shared" si="14"/>
        <v>4</v>
      </c>
      <c r="B68" s="2067" t="str">
        <f>$C$356</f>
        <v>Risk of delay in land acquisition</v>
      </c>
      <c r="C68" s="1334" t="str">
        <f t="shared" si="12"/>
        <v>Will land acquisition lead to substantial involuntary resettlement?</v>
      </c>
      <c r="D68" s="1340">
        <f t="shared" si="13"/>
        <v>0.14285714285714285</v>
      </c>
      <c r="E68" s="2506"/>
      <c r="BE68" s="706"/>
    </row>
    <row r="69" spans="1:57" x14ac:dyDescent="0.3">
      <c r="A69" s="1326">
        <f t="shared" si="14"/>
        <v>5</v>
      </c>
      <c r="B69" s="2067" t="str">
        <f t="shared" ref="B69:B71" si="15">$C$356</f>
        <v>Risk of delay in land acquisition</v>
      </c>
      <c r="C69" s="1334" t="str">
        <f t="shared" si="12"/>
        <v>Will the project need to acquire forest or protected land?</v>
      </c>
      <c r="D69" s="1340">
        <f t="shared" si="13"/>
        <v>0.14285714285714285</v>
      </c>
      <c r="E69" s="2506"/>
      <c r="BE69" s="706"/>
    </row>
    <row r="70" spans="1:57" x14ac:dyDescent="0.3">
      <c r="A70" s="1326">
        <f t="shared" si="14"/>
        <v>6</v>
      </c>
      <c r="B70" s="2067" t="str">
        <f t="shared" si="15"/>
        <v>Risk of delay in land acquisition</v>
      </c>
      <c r="C70" s="1334" t="str">
        <f t="shared" si="12"/>
        <v>Have there been substantial delays in land acquisition in similar projects in the past?</v>
      </c>
      <c r="D70" s="1340">
        <f t="shared" si="13"/>
        <v>0.14285714285714285</v>
      </c>
      <c r="E70" s="2506"/>
      <c r="BE70" s="706"/>
    </row>
    <row r="71" spans="1:57" ht="15" thickBot="1" x14ac:dyDescent="0.35">
      <c r="A71" s="1327">
        <f t="shared" si="14"/>
        <v>7</v>
      </c>
      <c r="B71" s="2068" t="str">
        <f t="shared" si="15"/>
        <v>Risk of delay in land acquisition</v>
      </c>
      <c r="C71" s="2056" t="str">
        <f t="shared" si="12"/>
        <v>Are there any other issues that could delay land acquisition?</v>
      </c>
      <c r="D71" s="1340">
        <f t="shared" si="13"/>
        <v>0.14285714285714285</v>
      </c>
      <c r="E71" s="2507"/>
      <c r="BE71" s="706"/>
    </row>
    <row r="72" spans="1:57" x14ac:dyDescent="0.3">
      <c r="A72" s="1325">
        <f t="shared" si="14"/>
        <v>8</v>
      </c>
      <c r="B72" s="2066" t="str">
        <f>$C$365</f>
        <v>Financing Risk</v>
      </c>
      <c r="C72" s="2059" t="str">
        <f>C366</f>
        <v>Have similar PPP projects achieved financial close in the country or region?</v>
      </c>
      <c r="D72" s="1339">
        <v>0.2</v>
      </c>
      <c r="E72" s="2505">
        <f>SUM(D72:D75)</f>
        <v>1</v>
      </c>
      <c r="BE72" s="706"/>
    </row>
    <row r="73" spans="1:57" x14ac:dyDescent="0.3">
      <c r="A73" s="1326">
        <f t="shared" si="14"/>
        <v>9</v>
      </c>
      <c r="B73" s="2067" t="str">
        <f t="shared" ref="B73:B75" si="16">$C$365</f>
        <v>Financing Risk</v>
      </c>
      <c r="C73" s="2063" t="str">
        <f>C367</f>
        <v>Are there financiers who will express or have expressed interest in the PPP?</v>
      </c>
      <c r="D73" s="1340">
        <v>0.4</v>
      </c>
      <c r="E73" s="2506"/>
      <c r="BE73" s="706"/>
    </row>
    <row r="74" spans="1:57" x14ac:dyDescent="0.3">
      <c r="A74" s="1326">
        <f t="shared" si="14"/>
        <v>10</v>
      </c>
      <c r="B74" s="2067" t="str">
        <f t="shared" si="16"/>
        <v>Financing Risk</v>
      </c>
      <c r="C74" s="1334" t="str">
        <f>C368</f>
        <v xml:space="preserve">Will financial close be a condition precedent to the effectiveness of the PPP agreement? </v>
      </c>
      <c r="D74" s="1340">
        <v>0.2</v>
      </c>
      <c r="E74" s="2506"/>
      <c r="BE74" s="706"/>
    </row>
    <row r="75" spans="1:57" ht="29.4" thickBot="1" x14ac:dyDescent="0.35">
      <c r="A75" s="1327">
        <f t="shared" si="14"/>
        <v>11</v>
      </c>
      <c r="B75" s="2068" t="str">
        <f t="shared" si="16"/>
        <v>Financing Risk</v>
      </c>
      <c r="C75" s="2056" t="str">
        <f>C369</f>
        <v xml:space="preserve"> Can it be reasonably expected that financial close will not be delayed to affect materially the conditions of effectiveness of the PPP agreement?</v>
      </c>
      <c r="D75" s="1340">
        <v>0.2</v>
      </c>
      <c r="E75" s="2507"/>
      <c r="BE75" s="706"/>
    </row>
    <row r="76" spans="1:57" ht="28.8" x14ac:dyDescent="0.3">
      <c r="A76" s="1325">
        <f t="shared" si="14"/>
        <v>12</v>
      </c>
      <c r="B76" s="2066" t="str">
        <f t="shared" ref="B76:B81" si="17">$C$371</f>
        <v xml:space="preserve">Design and Construction Risk </v>
      </c>
      <c r="C76" s="2059" t="str">
        <f t="shared" ref="C76:C81" si="18">C372</f>
        <v>Is the project likely to be based on technology that has been proven commercially in similar environments previously?</v>
      </c>
      <c r="D76" s="1339">
        <f t="shared" ref="D76:D81" si="19">1/6</f>
        <v>0.16666666666666666</v>
      </c>
      <c r="E76" s="2505">
        <f>SUM(D76:D81)</f>
        <v>0.99999999999999989</v>
      </c>
      <c r="BE76" s="706"/>
    </row>
    <row r="77" spans="1:57" ht="28.8" x14ac:dyDescent="0.3">
      <c r="A77" s="1326">
        <f t="shared" si="14"/>
        <v>13</v>
      </c>
      <c r="B77" s="2067" t="str">
        <f t="shared" si="17"/>
        <v xml:space="preserve">Design and Construction Risk </v>
      </c>
      <c r="C77" s="1334" t="str">
        <f t="shared" si="18"/>
        <v>Is the proposed site accessible with any potential challenges during construction being manageable?</v>
      </c>
      <c r="D77" s="1340">
        <f t="shared" si="19"/>
        <v>0.16666666666666666</v>
      </c>
      <c r="E77" s="2506"/>
      <c r="BE77" s="706"/>
    </row>
    <row r="78" spans="1:57" ht="28.8" x14ac:dyDescent="0.3">
      <c r="A78" s="1326">
        <f t="shared" si="14"/>
        <v>14</v>
      </c>
      <c r="B78" s="2067" t="str">
        <f t="shared" si="17"/>
        <v xml:space="preserve">Design and Construction Risk </v>
      </c>
      <c r="C78" s="1334" t="str">
        <f t="shared" si="18"/>
        <v>Will the project be able to source the required skills in relation to the project's construction and  operations and maintenance (O&amp;M) (as applicable)?</v>
      </c>
      <c r="D78" s="1340">
        <f t="shared" si="19"/>
        <v>0.16666666666666666</v>
      </c>
      <c r="E78" s="2506"/>
      <c r="BE78" s="706"/>
    </row>
    <row r="79" spans="1:57" ht="28.8" x14ac:dyDescent="0.3">
      <c r="A79" s="1326">
        <f t="shared" si="14"/>
        <v>15</v>
      </c>
      <c r="B79" s="2067" t="str">
        <f t="shared" si="17"/>
        <v xml:space="preserve">Design and Construction Risk </v>
      </c>
      <c r="C79" s="1334" t="str">
        <f t="shared" si="18"/>
        <v>Does the project scope allow the private sector to manage efficiently the design, construction, and commissioning risks?</v>
      </c>
      <c r="D79" s="1340">
        <f t="shared" si="19"/>
        <v>0.16666666666666666</v>
      </c>
      <c r="E79" s="2506"/>
      <c r="BE79" s="706"/>
    </row>
    <row r="80" spans="1:57" ht="28.8" x14ac:dyDescent="0.3">
      <c r="A80" s="1326">
        <f t="shared" si="14"/>
        <v>16</v>
      </c>
      <c r="B80" s="2067" t="str">
        <f t="shared" si="17"/>
        <v xml:space="preserve">Design and Construction Risk </v>
      </c>
      <c r="C80" s="1334" t="str">
        <f t="shared" si="18"/>
        <v>Will there be a strong system to manage contractor/subcontractor performance and construction-related challenges?</v>
      </c>
      <c r="D80" s="1340">
        <f t="shared" si="19"/>
        <v>0.16666666666666666</v>
      </c>
      <c r="E80" s="2506"/>
      <c r="BE80" s="706"/>
    </row>
    <row r="81" spans="1:57" ht="29.4" thickBot="1" x14ac:dyDescent="0.35">
      <c r="A81" s="1327">
        <f t="shared" si="14"/>
        <v>17</v>
      </c>
      <c r="B81" s="2068" t="str">
        <f t="shared" si="17"/>
        <v xml:space="preserve">Design and Construction Risk </v>
      </c>
      <c r="C81" s="2056" t="str">
        <f t="shared" si="18"/>
        <v>Will there be independent reviews of designs, monitoring of construction progress and oversight during testing and commissioning phases?</v>
      </c>
      <c r="D81" s="1340">
        <f t="shared" si="19"/>
        <v>0.16666666666666666</v>
      </c>
      <c r="E81" s="2507"/>
      <c r="BE81" s="706"/>
    </row>
    <row r="82" spans="1:57" ht="28.8" x14ac:dyDescent="0.3">
      <c r="A82" s="1325">
        <f t="shared" si="14"/>
        <v>18</v>
      </c>
      <c r="B82" s="2066" t="str">
        <f>$C$379</f>
        <v>Operations and Maintenance Risk</v>
      </c>
      <c r="C82" s="2059" t="str">
        <f>C380</f>
        <v xml:space="preserve">Does the project scope clearly include a well-defined, measurable, and verifiable O&amp;M component? </v>
      </c>
      <c r="D82" s="1339">
        <f>1/3</f>
        <v>0.33333333333333331</v>
      </c>
      <c r="E82" s="2505">
        <f>SUM(D82:D84)</f>
        <v>1</v>
      </c>
      <c r="BE82" s="706"/>
    </row>
    <row r="83" spans="1:57" ht="28.8" x14ac:dyDescent="0.3">
      <c r="A83" s="1326">
        <f t="shared" si="14"/>
        <v>19</v>
      </c>
      <c r="B83" s="2067" t="str">
        <f>$C$379</f>
        <v>Operations and Maintenance Risk</v>
      </c>
      <c r="C83" s="1334" t="str">
        <f>C381</f>
        <v>Will there be a strong system of safeguards, incentives and liabilities to manage contractor/sub-contractor/ equipment  supplier performance during O&amp;M?</v>
      </c>
      <c r="D83" s="1340">
        <f>1/3</f>
        <v>0.33333333333333331</v>
      </c>
      <c r="E83" s="2506"/>
      <c r="BE83" s="706"/>
    </row>
    <row r="84" spans="1:57" ht="29.4" thickBot="1" x14ac:dyDescent="0.35">
      <c r="A84" s="1327">
        <f t="shared" si="14"/>
        <v>20</v>
      </c>
      <c r="B84" s="2068" t="str">
        <f>$C$379</f>
        <v>Operations and Maintenance Risk</v>
      </c>
      <c r="C84" s="2056" t="str">
        <f>C382</f>
        <v>Will the project be able to source the required skills locally or from overseas, in relation to the project's construction and O&amp;M (as applicable)?</v>
      </c>
      <c r="D84" s="1340">
        <f>1/3</f>
        <v>0.33333333333333331</v>
      </c>
      <c r="E84" s="2507"/>
      <c r="BE84" s="706"/>
    </row>
    <row r="85" spans="1:57" ht="28.8" x14ac:dyDescent="0.3">
      <c r="A85" s="1325">
        <f t="shared" si="14"/>
        <v>21</v>
      </c>
      <c r="B85" s="2066" t="str">
        <f>$C$384</f>
        <v>Market Risk and Demand Risk</v>
      </c>
      <c r="C85" s="2059" t="str">
        <f t="shared" ref="C85:C90" si="20">C385</f>
        <v xml:space="preserve">Will the PPP have a ready baseline of demand or offtake that has been well established through historical data, firm off-take commitments, or exclusivity of service area? </v>
      </c>
      <c r="D85" s="1379">
        <f>$AG$368</f>
        <v>0.16666666666666666</v>
      </c>
      <c r="E85" s="2505">
        <f>SUM(D85:D90)</f>
        <v>0.99999999999999989</v>
      </c>
      <c r="F85" s="2488" t="s">
        <v>550</v>
      </c>
      <c r="BE85" s="706"/>
    </row>
    <row r="86" spans="1:57" ht="43.2" x14ac:dyDescent="0.3">
      <c r="A86" s="1326">
        <f t="shared" si="14"/>
        <v>22</v>
      </c>
      <c r="B86" s="2067" t="str">
        <f t="shared" ref="B86:B90" si="21">$C$384</f>
        <v>Market Risk and Demand Risk</v>
      </c>
      <c r="C86" s="1334" t="str">
        <f t="shared" si="20"/>
        <v>Are there precedents of similar projects in the country or region, where the actual usage or offtake from the project facility in the initial years has been atleast 85% of the originally projected usage or off-take?</v>
      </c>
      <c r="D86" s="1380">
        <f t="shared" ref="D86:D90" si="22">$AG$368</f>
        <v>0.16666666666666666</v>
      </c>
      <c r="E86" s="2506"/>
      <c r="F86" s="2488"/>
      <c r="BE86" s="706"/>
    </row>
    <row r="87" spans="1:57" ht="28.8" x14ac:dyDescent="0.3">
      <c r="A87" s="1326">
        <f t="shared" si="14"/>
        <v>23</v>
      </c>
      <c r="B87" s="2067" t="str">
        <f t="shared" si="21"/>
        <v>Market Risk and Demand Risk</v>
      </c>
      <c r="C87" s="1334" t="str">
        <f t="shared" si="20"/>
        <v>Are there competing projects in the defined market that could impact the ramping up of demand for this PPP project?</v>
      </c>
      <c r="D87" s="1380">
        <f t="shared" si="22"/>
        <v>0.16666666666666666</v>
      </c>
      <c r="E87" s="2506"/>
      <c r="F87" s="2488"/>
      <c r="BE87" s="706"/>
    </row>
    <row r="88" spans="1:57" ht="43.2" x14ac:dyDescent="0.3">
      <c r="A88" s="1326">
        <f t="shared" si="14"/>
        <v>24</v>
      </c>
      <c r="B88" s="2067" t="str">
        <f t="shared" si="21"/>
        <v>Market Risk and Demand Risk</v>
      </c>
      <c r="C88" s="1334" t="str">
        <f t="shared" si="20"/>
        <v>Is there an indication that user charges will be affordable to users? Such as through an assessment of the ability and willingness to pay of the users or benchmarking with similar projects.</v>
      </c>
      <c r="D88" s="1380">
        <f t="shared" si="22"/>
        <v>0.16666666666666666</v>
      </c>
      <c r="E88" s="2506"/>
      <c r="F88" s="2488"/>
      <c r="BE88" s="706"/>
    </row>
    <row r="89" spans="1:57" ht="43.2" x14ac:dyDescent="0.3">
      <c r="A89" s="1326">
        <f t="shared" si="14"/>
        <v>25</v>
      </c>
      <c r="B89" s="2067" t="str">
        <f t="shared" si="21"/>
        <v>Market Risk and Demand Risk</v>
      </c>
      <c r="C89" s="1334" t="str">
        <f t="shared" si="20"/>
        <v>In case of delays in ramping up of demand, will the private sector have some flexibility in repricing tariffs to manage and off-set demand shortfalls in any given year, or would the government provide some level of cash deficiency support or assurances?</v>
      </c>
      <c r="D89" s="1380">
        <f t="shared" si="22"/>
        <v>0.16666666666666666</v>
      </c>
      <c r="E89" s="2506"/>
      <c r="F89" s="2488"/>
      <c r="BE89" s="706"/>
    </row>
    <row r="90" spans="1:57" ht="29.4" thickBot="1" x14ac:dyDescent="0.35">
      <c r="A90" s="1326">
        <f t="shared" si="14"/>
        <v>26</v>
      </c>
      <c r="B90" s="2067" t="str">
        <f t="shared" si="21"/>
        <v>Market Risk and Demand Risk</v>
      </c>
      <c r="C90" s="1334" t="str">
        <f t="shared" si="20"/>
        <v xml:space="preserve">Is there a transparent and well-defined process for setting user charges and managing their increase? </v>
      </c>
      <c r="D90" s="1380">
        <f t="shared" si="22"/>
        <v>0.16666666666666666</v>
      </c>
      <c r="E90" s="2506"/>
      <c r="F90" s="2488"/>
      <c r="BE90" s="706"/>
    </row>
    <row r="91" spans="1:57" ht="43.2" x14ac:dyDescent="0.3">
      <c r="A91" s="1325">
        <f t="shared" si="14"/>
        <v>27</v>
      </c>
      <c r="B91" s="2066" t="str">
        <f>$C$392</f>
        <v>Off Taker Risk</v>
      </c>
      <c r="C91" s="2059" t="str">
        <f>C393</f>
        <v>Does the government counter party have high credit worthiness? Such as may be reflected through its financial position or outstanding credit ratings issued by independent credit rating agencies.</v>
      </c>
      <c r="D91" s="1379">
        <f>$AF$368</f>
        <v>0.25</v>
      </c>
      <c r="E91" s="2505">
        <f>SUM(D91:D94)</f>
        <v>1</v>
      </c>
      <c r="F91" s="2488"/>
      <c r="BE91" s="706"/>
    </row>
    <row r="92" spans="1:57" ht="28.8" x14ac:dyDescent="0.3">
      <c r="A92" s="1326">
        <f t="shared" si="14"/>
        <v>28</v>
      </c>
      <c r="B92" s="2067" t="str">
        <f>$C$392</f>
        <v>Off Taker Risk</v>
      </c>
      <c r="C92" s="1334" t="str">
        <f>C394</f>
        <v>Are payments secured through budgetary arrangements and/or backed by dedicated funds or funding sources?</v>
      </c>
      <c r="D92" s="1381">
        <f t="shared" ref="D92:D94" si="23">$AF$368</f>
        <v>0.25</v>
      </c>
      <c r="E92" s="2506"/>
      <c r="F92" s="2488"/>
      <c r="BE92" s="706"/>
    </row>
    <row r="93" spans="1:57" ht="43.2" x14ac:dyDescent="0.3">
      <c r="A93" s="1326">
        <f t="shared" si="14"/>
        <v>29</v>
      </c>
      <c r="B93" s="2067" t="str">
        <f>$C$392</f>
        <v>Off Taker Risk</v>
      </c>
      <c r="C93" s="1334" t="str">
        <f>C395</f>
        <v>Are guarantees, payment security measures or other cash contingency measures envisaged to support the PPP project in obtaining timely payments in relation to the payment obligations of the contracting authority?</v>
      </c>
      <c r="D93" s="1381">
        <f t="shared" si="23"/>
        <v>0.25</v>
      </c>
      <c r="E93" s="2506"/>
      <c r="F93" s="2488"/>
      <c r="BE93" s="706"/>
    </row>
    <row r="94" spans="1:57" ht="43.8" thickBot="1" x14ac:dyDescent="0.35">
      <c r="A94" s="1327">
        <f t="shared" si="14"/>
        <v>30</v>
      </c>
      <c r="B94" s="2068" t="str">
        <f>$C$392</f>
        <v>Off Taker Risk</v>
      </c>
      <c r="C94" s="2056" t="str">
        <f>C396</f>
        <v>In the event of disputes on payments linked to performance measurements, are there arrangements envisaged to release the undisputed amount or is there a cap on the maximum amount that can be retained by the offtaker pending the dispute?</v>
      </c>
      <c r="D94" s="1382">
        <f t="shared" si="23"/>
        <v>0.25</v>
      </c>
      <c r="E94" s="2507"/>
      <c r="F94" s="2488"/>
      <c r="BE94" s="706"/>
    </row>
    <row r="95" spans="1:57" ht="43.2" x14ac:dyDescent="0.3">
      <c r="A95" s="1326">
        <f t="shared" si="14"/>
        <v>31</v>
      </c>
      <c r="B95" s="2067" t="str">
        <f>$C$398</f>
        <v>Foreign Exchange Risk</v>
      </c>
      <c r="C95" s="1334" t="str">
        <f>C399</f>
        <v>Will the project be able to manage the foreign exchange risk by obtaining an adequate hedging cover? For example, through forward exchange contracts, options, or similar arrangements.</v>
      </c>
      <c r="D95" s="1340">
        <f>1/3</f>
        <v>0.33333333333333331</v>
      </c>
      <c r="E95" s="2506">
        <f>SUM(D95:D97)</f>
        <v>1</v>
      </c>
      <c r="BE95" s="706"/>
    </row>
    <row r="96" spans="1:57" ht="28.8" x14ac:dyDescent="0.3">
      <c r="A96" s="1326">
        <f t="shared" si="14"/>
        <v>32</v>
      </c>
      <c r="B96" s="2067" t="str">
        <f>$C$398</f>
        <v>Foreign Exchange Risk</v>
      </c>
      <c r="C96" s="1334" t="str">
        <f>C400</f>
        <v>Have all the costs related to foreign exchange risk been factored into the financial assessment?</v>
      </c>
      <c r="D96" s="1340">
        <f>1/3</f>
        <v>0.33333333333333331</v>
      </c>
      <c r="E96" s="2506"/>
      <c r="BE96" s="706"/>
    </row>
    <row r="97" spans="1:57" ht="29.4" thickBot="1" x14ac:dyDescent="0.35">
      <c r="A97" s="1327">
        <f t="shared" si="14"/>
        <v>33</v>
      </c>
      <c r="B97" s="2068" t="str">
        <f>$C$398</f>
        <v>Foreign Exchange Risk</v>
      </c>
      <c r="C97" s="2056" t="str">
        <f>C401</f>
        <v>Are there any other factors or concerns related to foreign exchange risk that could severly impact the project's financial viability or ability to raise financing?</v>
      </c>
      <c r="D97" s="1340">
        <f>1/3</f>
        <v>0.33333333333333331</v>
      </c>
      <c r="E97" s="2507"/>
      <c r="BE97" s="706"/>
    </row>
    <row r="98" spans="1:57" x14ac:dyDescent="0.3">
      <c r="A98" s="1325">
        <f t="shared" si="14"/>
        <v>34</v>
      </c>
      <c r="B98" s="2066" t="str">
        <f t="shared" ref="B98:B104" si="24">$C$405</f>
        <v>Environmental and Social Risk</v>
      </c>
      <c r="C98" s="2059" t="str">
        <f t="shared" ref="C98:C104" si="25">C406</f>
        <v>Is there a credible environmental and social impact analysis of the PPP?</v>
      </c>
      <c r="D98" s="1339">
        <f t="shared" ref="D98:D104" si="26">1/7</f>
        <v>0.14285714285714285</v>
      </c>
      <c r="E98" s="2505">
        <f>SUM(D98:D104)</f>
        <v>0.99999999999999978</v>
      </c>
      <c r="BE98" s="706"/>
    </row>
    <row r="99" spans="1:57" ht="28.8" x14ac:dyDescent="0.3">
      <c r="A99" s="1326">
        <f t="shared" si="14"/>
        <v>35</v>
      </c>
      <c r="B99" s="2067" t="str">
        <f t="shared" si="24"/>
        <v>Environmental and Social Risk</v>
      </c>
      <c r="C99" s="1334" t="str">
        <f t="shared" si="25"/>
        <v>Are the costs of mitigating the environmental and social impacts of the project considered in the PPP?</v>
      </c>
      <c r="D99" s="1340">
        <f t="shared" si="26"/>
        <v>0.14285714285714285</v>
      </c>
      <c r="E99" s="2506"/>
      <c r="BE99" s="706"/>
    </row>
    <row r="100" spans="1:57" ht="28.8" x14ac:dyDescent="0.3">
      <c r="A100" s="1326">
        <f t="shared" si="14"/>
        <v>36</v>
      </c>
      <c r="B100" s="2067" t="str">
        <f t="shared" si="24"/>
        <v>Environmental and Social Risk</v>
      </c>
      <c r="C100" s="1334" t="str">
        <f t="shared" si="25"/>
        <v>Can the private sector manage the environmental and social impact mitigation measures envisaged in its scope?</v>
      </c>
      <c r="D100" s="1340">
        <f t="shared" si="26"/>
        <v>0.14285714285714285</v>
      </c>
      <c r="E100" s="2506"/>
      <c r="BE100" s="706"/>
    </row>
    <row r="101" spans="1:57" ht="28.8" x14ac:dyDescent="0.3">
      <c r="A101" s="1326">
        <f t="shared" si="14"/>
        <v>37</v>
      </c>
      <c r="B101" s="2067" t="str">
        <f t="shared" si="24"/>
        <v>Environmental and Social Risk</v>
      </c>
      <c r="C101" s="1334" t="str">
        <f t="shared" si="25"/>
        <v>Will the private sector take on environmental and social risks applicable after the contract signing date and not prior period liabilities?</v>
      </c>
      <c r="D101" s="1340">
        <f t="shared" si="26"/>
        <v>0.14285714285714285</v>
      </c>
      <c r="E101" s="2506"/>
      <c r="BE101" s="706"/>
    </row>
    <row r="102" spans="1:57" ht="43.2" x14ac:dyDescent="0.3">
      <c r="A102" s="1326">
        <f t="shared" si="14"/>
        <v>38</v>
      </c>
      <c r="B102" s="2067" t="str">
        <f t="shared" si="24"/>
        <v>Environmental and Social Risk</v>
      </c>
      <c r="C102" s="1334" t="str">
        <f t="shared" si="25"/>
        <v xml:space="preserve">Will there be contractual measures to ensure that the project financials are reset in the event of delays in executing mitigation for reasons beyond the control of the project company? </v>
      </c>
      <c r="D102" s="1340">
        <f t="shared" si="26"/>
        <v>0.14285714285714285</v>
      </c>
      <c r="E102" s="2506"/>
      <c r="BE102" s="706"/>
    </row>
    <row r="103" spans="1:57" ht="28.8" x14ac:dyDescent="0.3">
      <c r="A103" s="1326">
        <f t="shared" si="14"/>
        <v>39</v>
      </c>
      <c r="B103" s="2067" t="str">
        <f t="shared" si="24"/>
        <v>Environmental and Social Risk</v>
      </c>
      <c r="C103" s="1334" t="str">
        <f t="shared" si="25"/>
        <v>Has the government prepared or committed to prepare a fully-budgeted land acquisition plan?</v>
      </c>
      <c r="D103" s="1340">
        <f t="shared" si="26"/>
        <v>0.14285714285714285</v>
      </c>
      <c r="E103" s="2506"/>
      <c r="BE103" s="706"/>
    </row>
    <row r="104" spans="1:57" ht="29.4" thickBot="1" x14ac:dyDescent="0.35">
      <c r="A104" s="1327">
        <f t="shared" si="14"/>
        <v>40</v>
      </c>
      <c r="B104" s="2068" t="str">
        <f t="shared" si="24"/>
        <v>Environmental and Social Risk</v>
      </c>
      <c r="C104" s="2056" t="str">
        <f t="shared" si="25"/>
        <v xml:space="preserve">Will the PPP agreement have provision of 100% unencumbered land as a condition precedent? </v>
      </c>
      <c r="D104" s="1340">
        <f t="shared" si="26"/>
        <v>0.14285714285714285</v>
      </c>
      <c r="E104" s="2507"/>
      <c r="BE104" s="706"/>
    </row>
    <row r="105" spans="1:57" ht="15" thickBot="1" x14ac:dyDescent="0.35">
      <c r="A105" s="542"/>
      <c r="B105" s="2069"/>
      <c r="C105" s="2061"/>
      <c r="D105" s="1346"/>
      <c r="E105" s="1349"/>
      <c r="BE105" s="706"/>
    </row>
    <row r="106" spans="1:57" ht="28.8" x14ac:dyDescent="0.3">
      <c r="A106" s="1328" t="str">
        <f>'IV.PPP Suitability'!E1</f>
        <v>IV. PPP Suitability</v>
      </c>
      <c r="B106" s="2071" t="s">
        <v>47</v>
      </c>
      <c r="C106" s="2065" t="s">
        <v>326</v>
      </c>
      <c r="D106" s="1347" t="s">
        <v>279</v>
      </c>
      <c r="E106" s="1342" t="s">
        <v>500</v>
      </c>
      <c r="BE106" s="706"/>
    </row>
    <row r="107" spans="1:57" ht="28.8" x14ac:dyDescent="0.3">
      <c r="A107" s="1329">
        <v>1</v>
      </c>
      <c r="B107" s="2067" t="str">
        <f t="shared" ref="B107:B114" si="27">$C$419</f>
        <v>Value for Money</v>
      </c>
      <c r="C107" s="1334" t="str">
        <f>C421</f>
        <v>Do the project size and contract duration have the potential to maximize private sector efficiency?</v>
      </c>
      <c r="D107" s="1340">
        <f>1/10</f>
        <v>0.1</v>
      </c>
      <c r="E107" s="2506">
        <f>SUM(D107:D114)</f>
        <v>0.99999999999999989</v>
      </c>
      <c r="BE107" s="706"/>
    </row>
    <row r="108" spans="1:57" ht="57.6" x14ac:dyDescent="0.3">
      <c r="A108" s="1329">
        <f t="shared" ref="A108:A119" si="28">A107+1</f>
        <v>2</v>
      </c>
      <c r="B108" s="2067" t="str">
        <f t="shared" si="27"/>
        <v>Value for Money</v>
      </c>
      <c r="C108" s="1334" t="str">
        <f>C422</f>
        <v>Does the PPP adequately integrate responsibility for design, build and finance with O&amp;M risks under one party that enables the private sector to derive efficiency gains from better management (than what the public sector could have achieved) of the whole-of-life-cycle costs of the project?</v>
      </c>
      <c r="D108" s="1340">
        <f>1/10</f>
        <v>0.1</v>
      </c>
      <c r="E108" s="2506"/>
      <c r="BE108" s="706"/>
    </row>
    <row r="109" spans="1:57" ht="28.8" x14ac:dyDescent="0.3">
      <c r="A109" s="1329">
        <f t="shared" si="28"/>
        <v>3</v>
      </c>
      <c r="B109" s="2067" t="str">
        <f t="shared" si="27"/>
        <v>Value for Money</v>
      </c>
      <c r="C109" s="1334" t="str">
        <f>C423</f>
        <v xml:space="preserve">Is there potential for the private sector to operate and manage the project more efficiently than the public sector to decrease the project’s whole-of-life-costs? </v>
      </c>
      <c r="D109" s="1340">
        <f>1/10</f>
        <v>0.1</v>
      </c>
      <c r="E109" s="2506"/>
      <c r="BE109" s="706"/>
    </row>
    <row r="110" spans="1:57" ht="28.8" x14ac:dyDescent="0.3">
      <c r="A110" s="1329">
        <f t="shared" si="28"/>
        <v>4</v>
      </c>
      <c r="B110" s="2067" t="str">
        <f t="shared" si="27"/>
        <v>Value for Money</v>
      </c>
      <c r="C110" s="1334" t="str">
        <f>C424</f>
        <v>Is there potential for a private operator to generate higher revenues than the public sector would have through better utilization of the project assets?</v>
      </c>
      <c r="D110" s="1340">
        <f>1/10</f>
        <v>0.1</v>
      </c>
      <c r="E110" s="2506"/>
      <c r="BE110" s="706"/>
    </row>
    <row r="111" spans="1:57" ht="28.8" x14ac:dyDescent="0.3">
      <c r="A111" s="1329">
        <f t="shared" si="28"/>
        <v>5</v>
      </c>
      <c r="B111" s="2067" t="str">
        <f t="shared" si="27"/>
        <v>Value for Money</v>
      </c>
      <c r="C111" s="1334" t="str">
        <f>C425</f>
        <v xml:space="preserve">Are payments to the private sector linked to performance and based on easily measurable and quantifiable outputs? </v>
      </c>
      <c r="D111" s="1340">
        <f>1/10</f>
        <v>0.1</v>
      </c>
      <c r="E111" s="2506"/>
      <c r="BE111" s="706"/>
    </row>
    <row r="112" spans="1:57" x14ac:dyDescent="0.3">
      <c r="A112" s="1329">
        <f t="shared" si="28"/>
        <v>6</v>
      </c>
      <c r="B112" s="2067" t="str">
        <f t="shared" si="27"/>
        <v>Value for Money</v>
      </c>
      <c r="C112" s="1334" t="str">
        <f>C427</f>
        <v>Are the modeling assumptions backed by historical or empirical data?</v>
      </c>
      <c r="D112" s="1340">
        <f>1/6</f>
        <v>0.16666666666666666</v>
      </c>
      <c r="E112" s="2506"/>
      <c r="BE112" s="706"/>
    </row>
    <row r="113" spans="1:57" x14ac:dyDescent="0.3">
      <c r="A113" s="1329">
        <f t="shared" si="28"/>
        <v>7</v>
      </c>
      <c r="B113" s="2067" t="str">
        <f t="shared" si="27"/>
        <v>Value for Money</v>
      </c>
      <c r="C113" s="1334" t="str">
        <f>C428</f>
        <v>Is the value for money (VFM) for the project greater than the threshold VFM requirement?</v>
      </c>
      <c r="D113" s="1340">
        <f>1/6</f>
        <v>0.16666666666666666</v>
      </c>
      <c r="E113" s="2506"/>
      <c r="BE113" s="706"/>
    </row>
    <row r="114" spans="1:57" ht="29.4" thickBot="1" x14ac:dyDescent="0.35">
      <c r="A114" s="1330">
        <f t="shared" si="28"/>
        <v>8</v>
      </c>
      <c r="B114" s="2068" t="str">
        <f t="shared" si="27"/>
        <v>Value for Money</v>
      </c>
      <c r="C114" s="2056" t="str">
        <f>C429</f>
        <v>Will the VFM for the project remain greater than the threshold rate in the stress (or low) case scenario?</v>
      </c>
      <c r="D114" s="1340">
        <f>1/6</f>
        <v>0.16666666666666666</v>
      </c>
      <c r="E114" s="2507"/>
      <c r="BE114" s="706"/>
    </row>
    <row r="115" spans="1:57" ht="43.2" x14ac:dyDescent="0.3">
      <c r="A115" s="1331">
        <f t="shared" si="28"/>
        <v>9</v>
      </c>
      <c r="B115" s="2066" t="str">
        <f>$C$431</f>
        <v>Market appetite</v>
      </c>
      <c r="C115" s="2059" t="str">
        <f>C432</f>
        <v>Is there a favorable response expected from the private sector towards the project? For example, as gauged by the contracting agency through preliminary market consultations or similar investor interactions.</v>
      </c>
      <c r="D115" s="1339">
        <v>0.3</v>
      </c>
      <c r="E115" s="2505">
        <f>SUM(D115:D119)</f>
        <v>1</v>
      </c>
      <c r="BE115" s="706"/>
    </row>
    <row r="116" spans="1:57" ht="28.8" x14ac:dyDescent="0.3">
      <c r="A116" s="1329">
        <f t="shared" si="28"/>
        <v>10</v>
      </c>
      <c r="B116" s="2067" t="str">
        <f>$C$431</f>
        <v>Market appetite</v>
      </c>
      <c r="C116" s="1334" t="str">
        <f>C433</f>
        <v>Have similar PPP projects been successfully implemented in the past in the country or region?</v>
      </c>
      <c r="D116" s="1340">
        <v>0.3</v>
      </c>
      <c r="E116" s="2506"/>
      <c r="BE116" s="706"/>
    </row>
    <row r="117" spans="1:57" ht="28.8" x14ac:dyDescent="0.3">
      <c r="A117" s="1329">
        <f t="shared" si="28"/>
        <v>11</v>
      </c>
      <c r="B117" s="2067" t="str">
        <f>$C$431</f>
        <v>Market appetite</v>
      </c>
      <c r="C117" s="1334" t="str">
        <f>C434</f>
        <v>Will debt financing be available for the project with a relatively long tenure (more than 7 years) and at a reasonable cost?</v>
      </c>
      <c r="D117" s="1340">
        <f t="shared" ref="D117" si="29">1/5</f>
        <v>0.2</v>
      </c>
      <c r="E117" s="2506"/>
      <c r="BE117" s="706"/>
    </row>
    <row r="118" spans="1:57" x14ac:dyDescent="0.3">
      <c r="A118" s="1329">
        <f t="shared" si="28"/>
        <v>12</v>
      </c>
      <c r="B118" s="2067" t="str">
        <f>$C$431</f>
        <v>Market appetite</v>
      </c>
      <c r="C118" s="1334" t="str">
        <f>C435</f>
        <v>Is the project eligible for government funding support?</v>
      </c>
      <c r="D118" s="1340">
        <v>0.1</v>
      </c>
      <c r="E118" s="2506"/>
      <c r="BE118" s="706"/>
    </row>
    <row r="119" spans="1:57" ht="15" thickBot="1" x14ac:dyDescent="0.35">
      <c r="A119" s="1330">
        <f t="shared" si="28"/>
        <v>13</v>
      </c>
      <c r="B119" s="2068" t="str">
        <f>$C$431</f>
        <v>Market appetite</v>
      </c>
      <c r="C119" s="2056" t="str">
        <f>C436</f>
        <v>Is the project eligible for funding/ guarantees from  multilateral/donor agencies?</v>
      </c>
      <c r="D119" s="1341">
        <v>0.1</v>
      </c>
      <c r="E119" s="2507"/>
      <c r="BE119" s="706"/>
    </row>
    <row r="120" spans="1:57" ht="43.2" x14ac:dyDescent="0.3">
      <c r="A120" s="1328" t="str">
        <f>'V.Fiscal Affordability'!E1</f>
        <v>V. Fiscal Affordability Assessment</v>
      </c>
      <c r="B120" s="2071" t="s">
        <v>47</v>
      </c>
      <c r="C120" s="2065" t="s">
        <v>326</v>
      </c>
      <c r="D120" s="1347" t="s">
        <v>279</v>
      </c>
      <c r="E120" s="1342" t="s">
        <v>500</v>
      </c>
      <c r="BE120" s="706"/>
    </row>
    <row r="121" spans="1:57" ht="33" customHeight="1" x14ac:dyDescent="0.3">
      <c r="A121" s="1332">
        <v>1</v>
      </c>
      <c r="B121" s="2067" t="str">
        <f>$C$445</f>
        <v>Extent and Nature of Government Fiscal Support</v>
      </c>
      <c r="C121" s="1334" t="str">
        <f>C446</f>
        <v xml:space="preserve">Is there a clear rationale for government support that is consistent with applicable laws and government support policies?
</v>
      </c>
      <c r="D121" s="1340">
        <f>1/4</f>
        <v>0.25</v>
      </c>
      <c r="E121" s="2506">
        <f>SUM(D121:D124)</f>
        <v>1</v>
      </c>
      <c r="BE121" s="706"/>
    </row>
    <row r="122" spans="1:57" ht="43.2" x14ac:dyDescent="0.3">
      <c r="A122" s="1332">
        <f t="shared" ref="A122:A128" si="30">+A121+1</f>
        <v>2</v>
      </c>
      <c r="B122" s="2067" t="str">
        <f>$C$445</f>
        <v>Extent and Nature of Government Fiscal Support</v>
      </c>
      <c r="C122" s="1334" t="str">
        <f>C447</f>
        <v>Is there an assessment of various options to minimize the requirement of government support? Such as options for additional sources of revenue, tariff adjustments, optimizing project scope, and/or adjusting the contract period?</v>
      </c>
      <c r="D122" s="1340">
        <f t="shared" ref="D122:D128" si="31">1/4</f>
        <v>0.25</v>
      </c>
      <c r="E122" s="2506"/>
      <c r="BE122" s="706"/>
    </row>
    <row r="123" spans="1:57" ht="28.8" x14ac:dyDescent="0.3">
      <c r="A123" s="1332">
        <f t="shared" si="30"/>
        <v>3</v>
      </c>
      <c r="B123" s="2067" t="str">
        <f>$C$445</f>
        <v>Extent and Nature of Government Fiscal Support</v>
      </c>
      <c r="C123" s="1334" t="str">
        <f>C448</f>
        <v xml:space="preserve">Has the level of government support been benchmarked to comparable projects, at the national level or regional level? </v>
      </c>
      <c r="D123" s="1340">
        <f t="shared" si="31"/>
        <v>0.25</v>
      </c>
      <c r="E123" s="2506"/>
      <c r="BE123" s="706"/>
    </row>
    <row r="124" spans="1:57" ht="15" thickBot="1" x14ac:dyDescent="0.35">
      <c r="A124" s="1333">
        <f t="shared" si="30"/>
        <v>4</v>
      </c>
      <c r="B124" s="2068" t="str">
        <f>$C$445</f>
        <v>Extent and Nature of Government Fiscal Support</v>
      </c>
      <c r="C124" s="2056" t="str">
        <f>C449</f>
        <v>Will there be competitive pressure in market determination of government support?</v>
      </c>
      <c r="D124" s="1340">
        <f t="shared" si="31"/>
        <v>0.25</v>
      </c>
      <c r="E124" s="2507"/>
      <c r="BE124" s="706"/>
    </row>
    <row r="125" spans="1:57" ht="28.8" x14ac:dyDescent="0.3">
      <c r="A125" s="1335">
        <f t="shared" si="30"/>
        <v>5</v>
      </c>
      <c r="B125" s="2066" t="str">
        <f>$C$451</f>
        <v>Quantification of Fiscal Support</v>
      </c>
      <c r="C125" s="2059" t="str">
        <f>C452</f>
        <v>In case of direct fiscal commitments, are the expected annual payments within budgetary ceilings?</v>
      </c>
      <c r="D125" s="1339">
        <f>1/4</f>
        <v>0.25</v>
      </c>
      <c r="E125" s="2505">
        <f>SUM(D125:D128)</f>
        <v>1</v>
      </c>
      <c r="BE125" s="706"/>
    </row>
    <row r="126" spans="1:57" ht="43.2" x14ac:dyDescent="0.3">
      <c r="A126" s="1332">
        <f t="shared" si="30"/>
        <v>6</v>
      </c>
      <c r="B126" s="2067" t="str">
        <f>$C$451</f>
        <v>Quantification of Fiscal Support</v>
      </c>
      <c r="C126" s="1334" t="str">
        <f>C453</f>
        <v>If a non-termination event defined by the PPP contract (or a guarantee arrangement) occurs, are the maximum expected annual payouts triggered by this event within acceptable budgetary limits for the government?</v>
      </c>
      <c r="D126" s="1340">
        <f t="shared" si="31"/>
        <v>0.25</v>
      </c>
      <c r="E126" s="2506"/>
      <c r="BE126" s="706"/>
    </row>
    <row r="127" spans="1:57" ht="28.8" x14ac:dyDescent="0.3">
      <c r="A127" s="1332">
        <f t="shared" si="30"/>
        <v>7</v>
      </c>
      <c r="B127" s="2067" t="str">
        <f>$C$451</f>
        <v>Quantification of Fiscal Support</v>
      </c>
      <c r="C127" s="1334" t="str">
        <f>C454</f>
        <v>Will the impacts of direct and contingent liabilities of the project be within an acceptable level for the government?</v>
      </c>
      <c r="D127" s="1340">
        <f t="shared" si="31"/>
        <v>0.25</v>
      </c>
      <c r="E127" s="2506"/>
      <c r="BE127" s="706"/>
    </row>
    <row r="128" spans="1:57" ht="15" thickBot="1" x14ac:dyDescent="0.35">
      <c r="A128" s="1333">
        <f t="shared" si="30"/>
        <v>8</v>
      </c>
      <c r="B128" s="2068" t="str">
        <f>$C$451</f>
        <v>Quantification of Fiscal Support</v>
      </c>
      <c r="C128" s="2056" t="str">
        <f>C455</f>
        <v xml:space="preserve">Is there a clear strategy to mitigate fiscal risks emerging from the PPP contract ? </v>
      </c>
      <c r="D128" s="1341">
        <f t="shared" si="31"/>
        <v>0.25</v>
      </c>
      <c r="E128" s="2507"/>
      <c r="BE128" s="706"/>
    </row>
    <row r="129" spans="1:57" ht="87" thickBot="1" x14ac:dyDescent="0.35">
      <c r="A129" s="837" t="str">
        <f>'VI.Institutional Capability'!D1</f>
        <v>VI. Government's Institutional Capability Assessment</v>
      </c>
      <c r="B129" s="2070" t="s">
        <v>47</v>
      </c>
      <c r="C129" s="2062" t="s">
        <v>326</v>
      </c>
      <c r="D129" s="1342" t="s">
        <v>279</v>
      </c>
      <c r="E129" s="1342" t="s">
        <v>500</v>
      </c>
      <c r="BE129" s="706"/>
    </row>
    <row r="130" spans="1:57" x14ac:dyDescent="0.3">
      <c r="A130" s="1336">
        <v>1</v>
      </c>
      <c r="B130" s="2066" t="str">
        <f>$C$479</f>
        <v>Institutional Capacity</v>
      </c>
      <c r="C130" s="2059" t="str">
        <f>C480</f>
        <v>Is there a PPP focal point within the contracting agency?</v>
      </c>
      <c r="D130" s="1357">
        <f>1/4</f>
        <v>0.25</v>
      </c>
      <c r="E130" s="2508">
        <f>SUM(D130:D133)</f>
        <v>1</v>
      </c>
      <c r="BE130" s="706"/>
    </row>
    <row r="131" spans="1:57" ht="28.8" x14ac:dyDescent="0.3">
      <c r="A131" s="1337">
        <f>A130+1</f>
        <v>2</v>
      </c>
      <c r="B131" s="2067" t="str">
        <f>$C$479</f>
        <v>Institutional Capacity</v>
      </c>
      <c r="C131" s="1334" t="str">
        <f>C481</f>
        <v>Does the contracting agency have the capacity to manage the PPP project preparation and procurement processes?</v>
      </c>
      <c r="D131" s="1356">
        <f t="shared" ref="D131:D133" si="32">1/4</f>
        <v>0.25</v>
      </c>
      <c r="E131" s="2509"/>
      <c r="BE131" s="706"/>
    </row>
    <row r="132" spans="1:57" x14ac:dyDescent="0.3">
      <c r="A132" s="1337">
        <f>A131+1</f>
        <v>3</v>
      </c>
      <c r="B132" s="2067" t="str">
        <f>$C$479</f>
        <v>Institutional Capacity</v>
      </c>
      <c r="C132" s="1334" t="str">
        <f>C482</f>
        <v>Does the contracting agency or its key personnel have previous experience with PPPs?</v>
      </c>
      <c r="D132" s="1356">
        <f t="shared" si="32"/>
        <v>0.25</v>
      </c>
      <c r="E132" s="2509"/>
      <c r="BE132" s="706"/>
    </row>
    <row r="133" spans="1:57" ht="29.4" thickBot="1" x14ac:dyDescent="0.35">
      <c r="A133" s="1338">
        <f>A132+1</f>
        <v>4</v>
      </c>
      <c r="B133" s="2068" t="str">
        <f>$C$479</f>
        <v>Institutional Capacity</v>
      </c>
      <c r="C133" s="2056" t="str">
        <f>C483</f>
        <v>Will the contracting agency have access to transaction advisors and/or consultants for project preparation and procurement?</v>
      </c>
      <c r="D133" s="1358">
        <f t="shared" si="32"/>
        <v>0.25</v>
      </c>
      <c r="E133" s="2510"/>
      <c r="BE133" s="706"/>
    </row>
    <row r="134" spans="1:57" ht="28.8" x14ac:dyDescent="0.3">
      <c r="A134" s="1337">
        <f>A132+1</f>
        <v>4</v>
      </c>
      <c r="B134" s="2067" t="str">
        <f>$C$485</f>
        <v>Preparedness of the Contracting Agency for the Project</v>
      </c>
      <c r="C134" s="1334" t="str">
        <f>C486</f>
        <v>Does the proposal have a project plan  for the next stages of the project with identified deadlines and responsibilities allocated?</v>
      </c>
      <c r="D134" s="1340">
        <f>1/5</f>
        <v>0.2</v>
      </c>
      <c r="E134" s="2506">
        <f>SUM(D134:D138)</f>
        <v>1</v>
      </c>
      <c r="BE134" s="706"/>
    </row>
    <row r="135" spans="1:57" ht="43.2" x14ac:dyDescent="0.3">
      <c r="A135" s="1337">
        <f t="shared" ref="A135:A143" si="33">A134+1</f>
        <v>5</v>
      </c>
      <c r="B135" s="2067" t="str">
        <f>$C$485</f>
        <v>Preparedness of the Contracting Agency for the Project</v>
      </c>
      <c r="C135" s="1334" t="str">
        <f>C487</f>
        <v>Has the contracting agency budgeted funds, or does it have access to funds, to complete project preparation? This includes the costs of preparing required studies, securing land, resettlement costs, and environmental and social impact cost mitigation.</v>
      </c>
      <c r="D135" s="1340">
        <f t="shared" ref="D135:D138" si="34">1/5</f>
        <v>0.2</v>
      </c>
      <c r="E135" s="2506"/>
      <c r="BE135" s="706"/>
    </row>
    <row r="136" spans="1:57" ht="28.8" x14ac:dyDescent="0.3">
      <c r="A136" s="1337">
        <f t="shared" si="33"/>
        <v>6</v>
      </c>
      <c r="B136" s="2067" t="str">
        <f>$C$485</f>
        <v>Preparedness of the Contracting Agency for the Project</v>
      </c>
      <c r="C136" s="1334" t="str">
        <f>C488</f>
        <v>Does the project plan incorporate a strategic communications plan to engage with internal and external stakeholders of the project during the next stages of the project?</v>
      </c>
      <c r="D136" s="1340">
        <f t="shared" si="34"/>
        <v>0.2</v>
      </c>
      <c r="E136" s="2506"/>
      <c r="BE136" s="706"/>
    </row>
    <row r="137" spans="1:57" ht="28.8" x14ac:dyDescent="0.3">
      <c r="A137" s="1337">
        <f t="shared" si="33"/>
        <v>7</v>
      </c>
      <c r="B137" s="2067" t="str">
        <f>$C$485</f>
        <v>Preparedness of the Contracting Agency for the Project</v>
      </c>
      <c r="C137" s="1334" t="str">
        <f>C489</f>
        <v>Is the contracting agency aware of the requirements for licenses, approvals and permits in case the project covers multiple jurisdictions?</v>
      </c>
      <c r="D137" s="1340">
        <f t="shared" si="34"/>
        <v>0.2</v>
      </c>
      <c r="E137" s="2506"/>
      <c r="BE137" s="706"/>
    </row>
    <row r="138" spans="1:57" ht="15" thickBot="1" x14ac:dyDescent="0.35">
      <c r="A138" s="1338">
        <f t="shared" si="33"/>
        <v>8</v>
      </c>
      <c r="B138" s="2068" t="str">
        <f>$C$485</f>
        <v>Preparedness of the Contracting Agency for the Project</v>
      </c>
      <c r="C138" s="2056" t="str">
        <f>C490</f>
        <v>Are there any constraints that could delay the project from getting to the market?</v>
      </c>
      <c r="D138" s="1341">
        <f t="shared" si="34"/>
        <v>0.2</v>
      </c>
      <c r="E138" s="2507"/>
      <c r="BE138" s="706"/>
    </row>
    <row r="139" spans="1:57" ht="28.8" x14ac:dyDescent="0.3">
      <c r="A139" s="1336">
        <f t="shared" si="33"/>
        <v>9</v>
      </c>
      <c r="B139" s="2066" t="str">
        <f>$C$492</f>
        <v>Project Execution Capability of the Contracting Agency</v>
      </c>
      <c r="C139" s="2059" t="str">
        <f>C493</f>
        <v>Does the contracting agency have adequate project management capability as evidenced from successful experience of implementing publicly funded projects in the sector?</v>
      </c>
      <c r="D139" s="1339">
        <f>1/5</f>
        <v>0.2</v>
      </c>
      <c r="E139" s="2505">
        <f>SUM(D139:D143)</f>
        <v>1</v>
      </c>
      <c r="BE139" s="706"/>
    </row>
    <row r="140" spans="1:57" ht="28.8" x14ac:dyDescent="0.3">
      <c r="A140" s="1337">
        <f t="shared" si="33"/>
        <v>10</v>
      </c>
      <c r="B140" s="2067" t="str">
        <f>$C$492</f>
        <v>Project Execution Capability of the Contracting Agency</v>
      </c>
      <c r="C140" s="1334" t="str">
        <f>C494</f>
        <v>Has the contracting agency been effective in managing key contractual risks and monitoring the performance of PPP projects during their operations phase?</v>
      </c>
      <c r="D140" s="1340">
        <f t="shared" ref="D140:D143" si="35">1/5</f>
        <v>0.2</v>
      </c>
      <c r="E140" s="2506"/>
      <c r="BE140" s="706"/>
    </row>
    <row r="141" spans="1:57" ht="28.8" x14ac:dyDescent="0.3">
      <c r="A141" s="1337">
        <f t="shared" si="33"/>
        <v>11</v>
      </c>
      <c r="B141" s="2067" t="str">
        <f>$C$492</f>
        <v>Project Execution Capability of the Contracting Agency</v>
      </c>
      <c r="C141" s="1334" t="str">
        <f>C495</f>
        <v xml:space="preserve">Will the PPP project have independent engineers or consultants to oversee the project's construction? </v>
      </c>
      <c r="D141" s="1340">
        <f t="shared" si="35"/>
        <v>0.2</v>
      </c>
      <c r="E141" s="2506"/>
      <c r="BE141" s="706"/>
    </row>
    <row r="142" spans="1:57" ht="28.8" x14ac:dyDescent="0.3">
      <c r="A142" s="1337">
        <f t="shared" si="33"/>
        <v>12</v>
      </c>
      <c r="B142" s="2067" t="str">
        <f>$C$492</f>
        <v>Project Execution Capability of the Contracting Agency</v>
      </c>
      <c r="C142" s="1334" t="str">
        <f>C496</f>
        <v>Will the contracting agency hire independent consultants or advisors to periodically assess project performance during the operations phase?</v>
      </c>
      <c r="D142" s="1340">
        <f t="shared" si="35"/>
        <v>0.2</v>
      </c>
      <c r="E142" s="2506"/>
      <c r="BE142" s="706"/>
    </row>
    <row r="143" spans="1:57" ht="29.4" thickBot="1" x14ac:dyDescent="0.35">
      <c r="A143" s="1338">
        <f t="shared" si="33"/>
        <v>13</v>
      </c>
      <c r="B143" s="2068" t="str">
        <f>$C$492</f>
        <v>Project Execution Capability of the Contracting Agency</v>
      </c>
      <c r="C143" s="2056" t="str">
        <f>C497</f>
        <v>Will the contracting agency insist on project-level disclosure to the public from time to time on the project's performance and meeting contractual obligations?</v>
      </c>
      <c r="D143" s="1341">
        <f t="shared" si="35"/>
        <v>0.2</v>
      </c>
      <c r="E143" s="2507"/>
      <c r="BE143" s="706"/>
    </row>
    <row r="144" spans="1:57" ht="15" thickBot="1" x14ac:dyDescent="0.35">
      <c r="A144" s="556"/>
      <c r="B144" s="556"/>
      <c r="C144" s="1153"/>
      <c r="D144" s="1154"/>
      <c r="BE144" s="706"/>
    </row>
    <row r="145" spans="1:57" x14ac:dyDescent="0.3">
      <c r="A145" s="1746"/>
      <c r="B145" s="468" t="s">
        <v>668</v>
      </c>
      <c r="C145" s="1747"/>
      <c r="D145" s="1748"/>
      <c r="E145" s="469"/>
      <c r="F145" s="470"/>
      <c r="BE145" s="706"/>
    </row>
    <row r="146" spans="1:57" x14ac:dyDescent="0.3">
      <c r="A146" s="1749"/>
      <c r="B146" s="1750"/>
      <c r="C146" s="1751"/>
      <c r="D146" s="1752" t="s">
        <v>669</v>
      </c>
      <c r="E146" s="1753" t="s">
        <v>670</v>
      </c>
      <c r="F146" s="1754" t="s">
        <v>671</v>
      </c>
      <c r="BE146" s="706"/>
    </row>
    <row r="147" spans="1:57" x14ac:dyDescent="0.3">
      <c r="A147" s="1749"/>
      <c r="B147" s="1751" t="s">
        <v>672</v>
      </c>
      <c r="C147" s="1755"/>
      <c r="D147" s="1756">
        <v>0</v>
      </c>
      <c r="E147" s="1757">
        <v>0.6</v>
      </c>
      <c r="F147" s="1758">
        <v>5</v>
      </c>
      <c r="BE147" s="706"/>
    </row>
    <row r="148" spans="1:57" x14ac:dyDescent="0.3">
      <c r="A148" s="1749"/>
      <c r="B148" s="1751" t="s">
        <v>672</v>
      </c>
      <c r="C148" s="1755"/>
      <c r="D148" s="1756">
        <f>Admin!L59</f>
        <v>0.60099999999999998</v>
      </c>
      <c r="E148" s="1757">
        <f>Admin!M59</f>
        <v>0.75</v>
      </c>
      <c r="F148" s="1758">
        <f>Admin!N59</f>
        <v>2</v>
      </c>
      <c r="BE148" s="706"/>
    </row>
    <row r="149" spans="1:57" x14ac:dyDescent="0.3">
      <c r="A149" s="1749"/>
      <c r="B149" s="1751" t="s">
        <v>672</v>
      </c>
      <c r="C149" s="1755"/>
      <c r="D149" s="1756">
        <f>Admin!L60</f>
        <v>0.751</v>
      </c>
      <c r="E149" s="1757">
        <f>Admin!M60</f>
        <v>0.9</v>
      </c>
      <c r="F149" s="1758">
        <f>Admin!N60</f>
        <v>1.5</v>
      </c>
      <c r="BE149" s="706"/>
    </row>
    <row r="150" spans="1:57" ht="15" thickBot="1" x14ac:dyDescent="0.35">
      <c r="A150" s="1768"/>
      <c r="B150" s="1759" t="s">
        <v>672</v>
      </c>
      <c r="C150" s="1760"/>
      <c r="D150" s="1761">
        <f>Admin!L61</f>
        <v>0.90100000000000002</v>
      </c>
      <c r="E150" s="1762">
        <f>Admin!M61</f>
        <v>1</v>
      </c>
      <c r="F150" s="1763">
        <f>Admin!N61</f>
        <v>1</v>
      </c>
      <c r="BE150" s="706"/>
    </row>
    <row r="151" spans="1:57" x14ac:dyDescent="0.3">
      <c r="A151" s="1746"/>
      <c r="B151" s="468" t="s">
        <v>778</v>
      </c>
      <c r="C151" s="1747"/>
      <c r="D151" s="1947" t="s">
        <v>669</v>
      </c>
      <c r="E151" s="469"/>
      <c r="F151" s="470"/>
      <c r="BE151" s="706"/>
    </row>
    <row r="152" spans="1:57" x14ac:dyDescent="0.3">
      <c r="A152" s="1749"/>
      <c r="B152" s="1925" t="s">
        <v>780</v>
      </c>
      <c r="C152" s="1751"/>
      <c r="D152" s="1946">
        <f>Admin!L64</f>
        <v>0.25</v>
      </c>
      <c r="E152" s="1923">
        <f>Admin!N64</f>
        <v>2</v>
      </c>
      <c r="F152" s="1754" t="s">
        <v>671</v>
      </c>
      <c r="BE152" s="706"/>
    </row>
    <row r="153" spans="1:57" x14ac:dyDescent="0.3">
      <c r="BE153" s="706"/>
    </row>
    <row r="154" spans="1:57" s="440" customFormat="1" ht="25.2" x14ac:dyDescent="0.45">
      <c r="A154" s="823" t="s">
        <v>592</v>
      </c>
      <c r="B154" s="452"/>
      <c r="C154" s="452"/>
      <c r="D154" s="452"/>
      <c r="E154" s="452"/>
      <c r="F154" s="452"/>
      <c r="G154" s="452"/>
      <c r="H154" s="452"/>
      <c r="I154" s="452"/>
      <c r="J154" s="452"/>
      <c r="K154" s="452"/>
      <c r="L154" s="452"/>
      <c r="M154" s="452"/>
      <c r="N154" s="452"/>
      <c r="O154" s="452"/>
      <c r="P154" s="452"/>
      <c r="Q154" s="452"/>
      <c r="R154" s="452"/>
      <c r="S154" s="452"/>
      <c r="T154" s="452"/>
      <c r="U154" s="452"/>
      <c r="V154" s="452"/>
      <c r="W154" s="452"/>
      <c r="X154" s="452"/>
      <c r="Y154" s="452"/>
      <c r="Z154" s="452"/>
      <c r="AA154" s="452"/>
      <c r="AB154" s="452"/>
      <c r="AC154" s="452"/>
      <c r="AD154" s="452"/>
      <c r="AE154" s="452"/>
      <c r="AF154" s="452"/>
      <c r="AG154" s="452"/>
      <c r="AH154" s="452"/>
      <c r="AI154" s="452"/>
      <c r="AJ154" s="452"/>
      <c r="AK154" s="452"/>
      <c r="AL154" s="452"/>
      <c r="AM154" s="452"/>
      <c r="AN154" s="452"/>
      <c r="AO154" s="452"/>
      <c r="AP154" s="452"/>
      <c r="AQ154" s="452"/>
      <c r="AR154" s="452"/>
      <c r="AS154" s="452"/>
      <c r="AT154" s="452"/>
      <c r="AU154" s="452"/>
      <c r="AV154" s="452"/>
      <c r="AW154" s="452"/>
      <c r="AX154" s="452"/>
      <c r="AY154" s="452"/>
      <c r="AZ154" s="452"/>
      <c r="BA154" s="452"/>
      <c r="BB154" s="452"/>
      <c r="BC154" s="452"/>
      <c r="BD154" s="452"/>
      <c r="BE154" s="439"/>
    </row>
    <row r="155" spans="1:57" s="440" customFormat="1" x14ac:dyDescent="0.3">
      <c r="BE155" s="439"/>
    </row>
    <row r="156" spans="1:57" s="440" customFormat="1" x14ac:dyDescent="0.3">
      <c r="B156" s="453" t="s">
        <v>202</v>
      </c>
      <c r="C156" s="454" t="s">
        <v>124</v>
      </c>
      <c r="K156" s="456" t="s">
        <v>452</v>
      </c>
      <c r="BE156" s="439"/>
    </row>
    <row r="157" spans="1:57" s="440" customFormat="1" x14ac:dyDescent="0.3">
      <c r="B157" s="458">
        <v>1</v>
      </c>
      <c r="C157" s="459" t="s">
        <v>144</v>
      </c>
      <c r="K157" s="1115" t="s">
        <v>34</v>
      </c>
      <c r="BE157" s="439"/>
    </row>
    <row r="158" spans="1:57" s="440" customFormat="1" x14ac:dyDescent="0.3">
      <c r="B158" s="458">
        <v>2</v>
      </c>
      <c r="C158" s="459" t="s">
        <v>126</v>
      </c>
      <c r="K158" s="1115" t="s">
        <v>39</v>
      </c>
      <c r="BE158" s="439"/>
    </row>
    <row r="159" spans="1:57" s="440" customFormat="1" x14ac:dyDescent="0.3">
      <c r="B159" s="458">
        <v>3</v>
      </c>
      <c r="C159" s="459" t="s">
        <v>143</v>
      </c>
      <c r="D159" s="512" t="s">
        <v>459</v>
      </c>
      <c r="K159" s="1115" t="s">
        <v>160</v>
      </c>
      <c r="BE159" s="439"/>
    </row>
    <row r="160" spans="1:57" s="440" customFormat="1" x14ac:dyDescent="0.3">
      <c r="B160" s="453" t="s">
        <v>13</v>
      </c>
      <c r="C160" s="454" t="s">
        <v>204</v>
      </c>
      <c r="D160" s="454" t="s">
        <v>315</v>
      </c>
      <c r="E160" s="454" t="s">
        <v>316</v>
      </c>
      <c r="F160" s="454" t="s">
        <v>317</v>
      </c>
      <c r="G160" s="454" t="s">
        <v>318</v>
      </c>
      <c r="H160" s="454" t="s">
        <v>319</v>
      </c>
      <c r="I160" s="454" t="s">
        <v>320</v>
      </c>
      <c r="K160" s="1115" t="s">
        <v>61</v>
      </c>
      <c r="BE160" s="439"/>
    </row>
    <row r="161" spans="2:57" s="440" customFormat="1" x14ac:dyDescent="0.3">
      <c r="B161" s="458">
        <v>1</v>
      </c>
      <c r="C161" s="459" t="s">
        <v>94</v>
      </c>
      <c r="D161" s="459"/>
      <c r="E161" s="459"/>
      <c r="F161" s="459"/>
      <c r="G161" s="459"/>
      <c r="H161" s="459"/>
      <c r="I161" s="459"/>
      <c r="K161" s="1115" t="s">
        <v>79</v>
      </c>
      <c r="BE161" s="439"/>
    </row>
    <row r="162" spans="2:57" s="440" customFormat="1" x14ac:dyDescent="0.3">
      <c r="B162" s="458">
        <v>2</v>
      </c>
      <c r="C162" s="459" t="s">
        <v>240</v>
      </c>
      <c r="D162" s="459"/>
      <c r="E162" s="459"/>
      <c r="F162" s="459"/>
      <c r="G162" s="459"/>
      <c r="H162" s="459"/>
      <c r="I162" s="459"/>
      <c r="K162" s="1115" t="s">
        <v>450</v>
      </c>
      <c r="BE162" s="439"/>
    </row>
    <row r="163" spans="2:57" s="440" customFormat="1" x14ac:dyDescent="0.3">
      <c r="B163" s="458">
        <v>3</v>
      </c>
      <c r="C163" s="459" t="s">
        <v>142</v>
      </c>
      <c r="D163" s="459">
        <v>0.16667000000000001</v>
      </c>
      <c r="E163" s="459">
        <v>0.33333000000000002</v>
      </c>
      <c r="F163" s="459">
        <v>0.2</v>
      </c>
      <c r="G163" s="459">
        <v>0.15</v>
      </c>
      <c r="H163" s="459">
        <v>0.2</v>
      </c>
      <c r="I163" s="459">
        <v>0.15</v>
      </c>
      <c r="K163" s="1115" t="s">
        <v>451</v>
      </c>
      <c r="BE163" s="439"/>
    </row>
    <row r="164" spans="2:57" s="440" customFormat="1" x14ac:dyDescent="0.3">
      <c r="B164" s="458">
        <v>4</v>
      </c>
      <c r="C164" s="459" t="s">
        <v>203</v>
      </c>
      <c r="D164" s="459">
        <v>0</v>
      </c>
      <c r="E164" s="459">
        <v>0</v>
      </c>
      <c r="F164" s="459">
        <v>0</v>
      </c>
      <c r="G164" s="459">
        <v>0</v>
      </c>
      <c r="H164" s="459">
        <v>0</v>
      </c>
      <c r="I164" s="459">
        <v>0</v>
      </c>
      <c r="BE164" s="439"/>
    </row>
    <row r="165" spans="2:57" s="440" customFormat="1" x14ac:dyDescent="0.3">
      <c r="B165" s="453" t="s">
        <v>15</v>
      </c>
      <c r="C165" s="454" t="s">
        <v>165</v>
      </c>
      <c r="BE165" s="439"/>
    </row>
    <row r="166" spans="2:57" s="440" customFormat="1" x14ac:dyDescent="0.3">
      <c r="B166" s="458">
        <v>1</v>
      </c>
      <c r="C166" s="459" t="s">
        <v>166</v>
      </c>
      <c r="BE166" s="439"/>
    </row>
    <row r="167" spans="2:57" s="440" customFormat="1" x14ac:dyDescent="0.3">
      <c r="B167" s="458">
        <v>2</v>
      </c>
      <c r="C167" s="459" t="s">
        <v>674</v>
      </c>
      <c r="BE167" s="439"/>
    </row>
    <row r="168" spans="2:57" s="440" customFormat="1" x14ac:dyDescent="0.3">
      <c r="B168" s="458">
        <v>3</v>
      </c>
      <c r="C168" s="459" t="s">
        <v>254</v>
      </c>
      <c r="BE168" s="439"/>
    </row>
    <row r="169" spans="2:57" s="440" customFormat="1" x14ac:dyDescent="0.3">
      <c r="B169" s="453" t="s">
        <v>205</v>
      </c>
      <c r="C169" s="454" t="s">
        <v>121</v>
      </c>
      <c r="BE169" s="439"/>
    </row>
    <row r="170" spans="2:57" s="440" customFormat="1" x14ac:dyDescent="0.3">
      <c r="B170" s="458">
        <v>1</v>
      </c>
      <c r="C170" s="459" t="s">
        <v>167</v>
      </c>
      <c r="BE170" s="439"/>
    </row>
    <row r="171" spans="2:57" s="440" customFormat="1" x14ac:dyDescent="0.3">
      <c r="B171" s="458">
        <v>2</v>
      </c>
      <c r="C171" s="459" t="s">
        <v>120</v>
      </c>
      <c r="BE171" s="439"/>
    </row>
    <row r="172" spans="2:57" s="440" customFormat="1" x14ac:dyDescent="0.3">
      <c r="B172" s="453" t="s">
        <v>200</v>
      </c>
      <c r="C172" s="454" t="s">
        <v>206</v>
      </c>
      <c r="BE172" s="439"/>
    </row>
    <row r="173" spans="2:57" s="441" customFormat="1" x14ac:dyDescent="0.3">
      <c r="B173" s="458">
        <v>1</v>
      </c>
      <c r="C173" s="459" t="s">
        <v>255</v>
      </c>
      <c r="G173" s="440"/>
      <c r="H173" s="440"/>
      <c r="I173" s="440"/>
      <c r="J173" s="440"/>
      <c r="K173" s="440"/>
      <c r="L173" s="440"/>
      <c r="M173" s="440"/>
      <c r="BE173" s="462"/>
    </row>
    <row r="174" spans="2:57" s="441" customFormat="1" x14ac:dyDescent="0.3">
      <c r="B174" s="453" t="s">
        <v>201</v>
      </c>
      <c r="C174" s="454" t="s">
        <v>207</v>
      </c>
      <c r="D174" s="557" t="s">
        <v>310</v>
      </c>
      <c r="E174" s="557" t="s">
        <v>311</v>
      </c>
      <c r="F174" s="557" t="s">
        <v>312</v>
      </c>
      <c r="G174" s="557" t="s">
        <v>313</v>
      </c>
      <c r="H174" s="440"/>
      <c r="I174" s="440"/>
      <c r="J174" s="440"/>
      <c r="K174" s="440"/>
      <c r="L174" s="440"/>
      <c r="M174" s="440"/>
      <c r="BE174" s="462"/>
    </row>
    <row r="175" spans="2:57" s="441" customFormat="1" x14ac:dyDescent="0.3">
      <c r="B175" s="458">
        <v>1</v>
      </c>
      <c r="C175" s="458" t="s">
        <v>158</v>
      </c>
      <c r="D175" s="458">
        <v>0.1666</v>
      </c>
      <c r="E175" s="458">
        <v>0.1666</v>
      </c>
      <c r="F175" s="458">
        <v>0.33329999999999999</v>
      </c>
      <c r="G175" s="458">
        <v>0.33329999999999999</v>
      </c>
      <c r="H175" s="440"/>
      <c r="I175" s="440"/>
      <c r="J175" s="440"/>
      <c r="K175" s="440"/>
      <c r="L175" s="440"/>
      <c r="M175" s="440"/>
      <c r="BE175" s="462"/>
    </row>
    <row r="176" spans="2:57" s="441" customFormat="1" x14ac:dyDescent="0.3">
      <c r="B176" s="458">
        <v>2</v>
      </c>
      <c r="C176" s="458" t="s">
        <v>159</v>
      </c>
      <c r="D176" s="458">
        <v>0.4</v>
      </c>
      <c r="E176" s="458">
        <v>0.6</v>
      </c>
      <c r="F176" s="458">
        <v>0</v>
      </c>
      <c r="G176" s="458">
        <v>0</v>
      </c>
      <c r="H176" s="440"/>
      <c r="I176" s="440"/>
      <c r="J176" s="440"/>
      <c r="K176" s="440"/>
      <c r="L176" s="440"/>
      <c r="M176" s="440"/>
      <c r="BE176" s="462"/>
    </row>
    <row r="177" spans="2:57" s="441" customFormat="1" x14ac:dyDescent="0.3">
      <c r="B177" s="458">
        <v>3</v>
      </c>
      <c r="C177" s="458" t="s">
        <v>160</v>
      </c>
      <c r="D177" s="458"/>
      <c r="E177" s="458"/>
      <c r="F177" s="458"/>
      <c r="G177" s="458"/>
      <c r="H177" s="440"/>
      <c r="I177" s="440"/>
      <c r="J177" s="440"/>
      <c r="K177" s="440"/>
      <c r="L177" s="440"/>
      <c r="M177" s="440"/>
      <c r="BE177" s="462"/>
    </row>
    <row r="178" spans="2:57" s="441" customFormat="1" x14ac:dyDescent="0.3">
      <c r="B178" s="457" t="s">
        <v>221</v>
      </c>
      <c r="C178" s="454" t="s">
        <v>113</v>
      </c>
      <c r="D178" s="454"/>
      <c r="E178" s="454" t="s">
        <v>449</v>
      </c>
      <c r="F178" s="454"/>
      <c r="G178" s="440"/>
      <c r="H178" s="440"/>
      <c r="I178" s="440"/>
      <c r="J178" s="440"/>
      <c r="K178" s="440"/>
      <c r="L178" s="440"/>
      <c r="M178" s="440"/>
      <c r="BE178" s="462"/>
    </row>
    <row r="179" spans="2:57" s="441" customFormat="1" x14ac:dyDescent="0.3">
      <c r="B179" s="454" t="s">
        <v>78</v>
      </c>
      <c r="C179" s="454" t="s">
        <v>453</v>
      </c>
      <c r="D179" s="454" t="s">
        <v>314</v>
      </c>
      <c r="E179" s="454" t="s">
        <v>454</v>
      </c>
      <c r="F179" s="454" t="s">
        <v>314</v>
      </c>
      <c r="G179" s="440"/>
      <c r="H179" s="440"/>
      <c r="I179" s="440"/>
      <c r="J179" s="440"/>
      <c r="K179" s="440"/>
      <c r="L179" s="440"/>
      <c r="M179" s="440"/>
      <c r="BE179" s="462"/>
    </row>
    <row r="180" spans="2:57" s="441" customFormat="1" x14ac:dyDescent="0.3">
      <c r="B180" s="1078" t="s">
        <v>34</v>
      </c>
      <c r="C180" s="1078">
        <v>1</v>
      </c>
      <c r="D180" s="1078">
        <v>0</v>
      </c>
      <c r="E180" s="461" t="str">
        <f>B180</f>
        <v>Yes</v>
      </c>
      <c r="F180" s="461" t="str">
        <f>E181</f>
        <v>No</v>
      </c>
      <c r="G180" s="440"/>
      <c r="H180" s="440"/>
      <c r="I180" s="440"/>
      <c r="J180" s="440"/>
      <c r="K180" s="440"/>
      <c r="L180" s="440"/>
      <c r="M180" s="440"/>
      <c r="BE180" s="462"/>
    </row>
    <row r="181" spans="2:57" s="441" customFormat="1" x14ac:dyDescent="0.3">
      <c r="B181" s="1078" t="s">
        <v>39</v>
      </c>
      <c r="C181" s="1078">
        <v>0</v>
      </c>
      <c r="D181" s="1078">
        <v>1</v>
      </c>
      <c r="E181" s="461" t="str">
        <f>B181</f>
        <v>No</v>
      </c>
      <c r="F181" s="461" t="str">
        <f>E180</f>
        <v>Yes</v>
      </c>
      <c r="G181" s="440"/>
      <c r="H181" s="440"/>
      <c r="I181" s="440"/>
      <c r="J181" s="440"/>
      <c r="K181" s="440"/>
      <c r="L181" s="440"/>
      <c r="M181" s="440"/>
      <c r="BE181" s="462"/>
    </row>
    <row r="182" spans="2:57" s="441" customFormat="1" x14ac:dyDescent="0.3">
      <c r="B182" s="1078" t="s">
        <v>79</v>
      </c>
      <c r="C182" s="1078">
        <v>0.5</v>
      </c>
      <c r="D182" s="1078">
        <v>0.5</v>
      </c>
      <c r="E182" s="461" t="str">
        <f>B182</f>
        <v>Uncertain</v>
      </c>
      <c r="F182" s="461" t="str">
        <f>E182</f>
        <v>Uncertain</v>
      </c>
      <c r="G182" s="440"/>
      <c r="H182" s="440"/>
      <c r="I182" s="440"/>
      <c r="J182" s="440"/>
      <c r="K182" s="440"/>
      <c r="L182" s="440"/>
      <c r="M182" s="440"/>
      <c r="BE182" s="462"/>
    </row>
    <row r="183" spans="2:57" s="441" customFormat="1" x14ac:dyDescent="0.3">
      <c r="B183" s="1078" t="s">
        <v>160</v>
      </c>
      <c r="C183" s="1078">
        <v>0</v>
      </c>
      <c r="D183" s="1078">
        <v>0</v>
      </c>
      <c r="E183" s="461" t="str">
        <f>B183</f>
        <v>N/A</v>
      </c>
      <c r="F183" s="461" t="str">
        <f>E183</f>
        <v>N/A</v>
      </c>
      <c r="G183" s="440"/>
      <c r="H183" s="440"/>
      <c r="I183" s="440"/>
      <c r="J183" s="440"/>
      <c r="K183" s="440"/>
      <c r="L183" s="440"/>
      <c r="M183" s="440"/>
      <c r="BE183" s="462"/>
    </row>
    <row r="184" spans="2:57" s="441" customFormat="1" x14ac:dyDescent="0.3">
      <c r="B184" s="1078" t="s">
        <v>61</v>
      </c>
      <c r="C184" s="1078">
        <v>0</v>
      </c>
      <c r="D184" s="1078">
        <v>0</v>
      </c>
      <c r="E184" s="461" t="str">
        <f>B184</f>
        <v>Skip</v>
      </c>
      <c r="F184" s="461" t="str">
        <f>E184</f>
        <v>Skip</v>
      </c>
      <c r="G184" s="440"/>
      <c r="H184" s="440"/>
      <c r="I184" s="440"/>
      <c r="J184" s="440"/>
      <c r="K184" s="440"/>
      <c r="L184" s="440"/>
      <c r="M184" s="440"/>
      <c r="BE184" s="462"/>
    </row>
    <row r="185" spans="2:57" s="440" customFormat="1" x14ac:dyDescent="0.3">
      <c r="B185" s="2492" t="s">
        <v>344</v>
      </c>
      <c r="C185" s="2492"/>
      <c r="D185" s="454" t="str">
        <f>D248</f>
        <v>Applicability</v>
      </c>
      <c r="E185" s="454" t="s">
        <v>32</v>
      </c>
      <c r="F185" s="454" t="s">
        <v>50</v>
      </c>
      <c r="G185" s="454" t="s">
        <v>345</v>
      </c>
      <c r="BE185" s="439"/>
    </row>
    <row r="186" spans="2:57" s="440" customFormat="1" x14ac:dyDescent="0.3">
      <c r="B186" s="458">
        <v>1</v>
      </c>
      <c r="C186" s="459" t="s">
        <v>1045</v>
      </c>
      <c r="D186" s="459" t="b">
        <f>D249</f>
        <v>1</v>
      </c>
      <c r="E186" s="741" t="str">
        <f>'0.Basic Project Data'!H18</f>
        <v>Yes</v>
      </c>
      <c r="F186" s="459">
        <f>IF(E186=$E$180,1,0)</f>
        <v>1</v>
      </c>
      <c r="G186" s="1077" t="str">
        <f>IF(OR(AND(E186="No",E249=1),AND(E187="No",E250=1),AND(E188="No",E251=1)),"Fail","Pass")</f>
        <v>Pass</v>
      </c>
      <c r="BE186" s="439"/>
    </row>
    <row r="187" spans="2:57" s="440" customFormat="1" x14ac:dyDescent="0.3">
      <c r="B187" s="458">
        <v>2</v>
      </c>
      <c r="C187" s="459" t="s">
        <v>123</v>
      </c>
      <c r="D187" s="459" t="b">
        <f>D250</f>
        <v>1</v>
      </c>
      <c r="E187" s="741" t="str">
        <f>'0.Basic Project Data'!H19</f>
        <v>Yes</v>
      </c>
      <c r="F187" s="459">
        <f t="shared" ref="F187:F188" si="36">IF(E187=$E$180,1,0)</f>
        <v>1</v>
      </c>
      <c r="BE187" s="439"/>
    </row>
    <row r="188" spans="2:57" s="440" customFormat="1" x14ac:dyDescent="0.3">
      <c r="B188" s="458">
        <v>3</v>
      </c>
      <c r="C188" s="459" t="s">
        <v>541</v>
      </c>
      <c r="D188" s="459" t="b">
        <f>D251</f>
        <v>1</v>
      </c>
      <c r="E188" s="741" t="str">
        <f>'0.Basic Project Data'!H20</f>
        <v>Yes</v>
      </c>
      <c r="F188" s="459">
        <f t="shared" si="36"/>
        <v>1</v>
      </c>
      <c r="BE188" s="439"/>
    </row>
    <row r="189" spans="2:57" s="440" customFormat="1" x14ac:dyDescent="0.3">
      <c r="BE189" s="439"/>
    </row>
    <row r="190" spans="2:57" s="440" customFormat="1" x14ac:dyDescent="0.3">
      <c r="BE190" s="439"/>
    </row>
    <row r="191" spans="2:57" s="440" customFormat="1" x14ac:dyDescent="0.3">
      <c r="BE191" s="439"/>
    </row>
    <row r="192" spans="2:57" s="440" customFormat="1" x14ac:dyDescent="0.3">
      <c r="BE192" s="439"/>
    </row>
    <row r="193" spans="1:57" s="440" customFormat="1" x14ac:dyDescent="0.3">
      <c r="BE193" s="439"/>
    </row>
    <row r="194" spans="1:57" s="440" customFormat="1" ht="26.25" customHeight="1" x14ac:dyDescent="0.45">
      <c r="A194" s="823" t="s">
        <v>503</v>
      </c>
      <c r="B194" s="823" t="s">
        <v>431</v>
      </c>
      <c r="C194" s="452"/>
      <c r="D194" s="452"/>
      <c r="E194" s="452"/>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2"/>
      <c r="BB194" s="452"/>
      <c r="BC194" s="452"/>
      <c r="BD194" s="452"/>
      <c r="BE194" s="439"/>
    </row>
    <row r="195" spans="1:57" s="440" customFormat="1" ht="15.75" customHeight="1" thickBot="1" x14ac:dyDescent="0.35">
      <c r="T195" s="441"/>
      <c r="U195" s="441"/>
      <c r="V195" s="441"/>
      <c r="W195" s="441"/>
      <c r="X195" s="441"/>
      <c r="Y195" s="441"/>
      <c r="Z195" s="441"/>
      <c r="AA195" s="441"/>
      <c r="AB195" s="441"/>
      <c r="AC195" s="441"/>
      <c r="AD195" s="441"/>
      <c r="AE195" s="441"/>
      <c r="AF195" s="441"/>
      <c r="AG195" s="441"/>
      <c r="AL195" s="463"/>
      <c r="AM195" s="463"/>
      <c r="AN195" s="463"/>
      <c r="BE195" s="439"/>
    </row>
    <row r="196" spans="1:57" s="441" customFormat="1" ht="15" customHeight="1" thickBot="1" x14ac:dyDescent="0.35">
      <c r="A196" s="440"/>
      <c r="B196" s="969" t="s">
        <v>14</v>
      </c>
      <c r="C196" s="970" t="s">
        <v>6</v>
      </c>
      <c r="D196" s="971"/>
      <c r="E196" s="971"/>
      <c r="F196" s="972"/>
      <c r="G196" s="972"/>
      <c r="I196" s="969" t="s">
        <v>13</v>
      </c>
      <c r="J196" s="970" t="s">
        <v>16</v>
      </c>
      <c r="K196" s="971"/>
      <c r="L196" s="989">
        <v>0.5</v>
      </c>
      <c r="M196" s="440"/>
      <c r="N196" s="467" t="s">
        <v>15</v>
      </c>
      <c r="O196" s="468" t="s">
        <v>8</v>
      </c>
      <c r="P196" s="469"/>
      <c r="Q196" s="470"/>
      <c r="S196" s="471" t="s">
        <v>199</v>
      </c>
      <c r="T196" s="938"/>
      <c r="U196" s="846"/>
      <c r="AA196" s="938"/>
      <c r="AB196" s="938"/>
      <c r="AC196" s="939"/>
      <c r="AD196" s="454" t="s">
        <v>370</v>
      </c>
      <c r="AE196" s="454" t="s">
        <v>371</v>
      </c>
      <c r="AF196" s="454" t="s">
        <v>282</v>
      </c>
      <c r="AH196" s="463"/>
      <c r="AI196" s="463"/>
      <c r="AJ196" s="463"/>
      <c r="BE196" s="462"/>
    </row>
    <row r="197" spans="1:57" s="441" customFormat="1" ht="30" customHeight="1" thickBot="1" x14ac:dyDescent="0.35">
      <c r="A197" s="440"/>
      <c r="B197" s="980"/>
      <c r="C197" s="981" t="s">
        <v>0</v>
      </c>
      <c r="D197" s="981" t="s">
        <v>1</v>
      </c>
      <c r="E197" s="981" t="s">
        <v>2</v>
      </c>
      <c r="F197" s="981" t="s">
        <v>3</v>
      </c>
      <c r="G197" s="982" t="s">
        <v>29</v>
      </c>
      <c r="H197" s="1957"/>
      <c r="I197" s="991"/>
      <c r="J197" s="520" t="s">
        <v>27</v>
      </c>
      <c r="K197" s="520" t="s">
        <v>28</v>
      </c>
      <c r="L197" s="992" t="s">
        <v>29</v>
      </c>
      <c r="M197" s="440"/>
      <c r="N197" s="993">
        <v>1</v>
      </c>
      <c r="O197" s="459" t="s">
        <v>9</v>
      </c>
      <c r="P197" s="835">
        <f ca="1">F204/$S$197*180</f>
        <v>174.21120000000002</v>
      </c>
      <c r="Q197" s="997" t="s">
        <v>12</v>
      </c>
      <c r="S197" s="1155">
        <v>5</v>
      </c>
      <c r="U197" s="844"/>
      <c r="V197" s="940"/>
      <c r="W197" s="940"/>
      <c r="X197" s="940"/>
      <c r="Y197" s="940"/>
      <c r="AC197" s="940"/>
      <c r="AD197" s="830" t="s">
        <v>34</v>
      </c>
      <c r="AE197" s="830">
        <f t="shared" ref="AE197:AE202" ca="1" si="37">AF275+AF300+AF355+AF418+AF442+AF478</f>
        <v>121</v>
      </c>
      <c r="AF197" s="834">
        <f ca="1">AE197/$AE$202</f>
        <v>0.84027777777777779</v>
      </c>
      <c r="AH197" s="512"/>
      <c r="AI197" s="512"/>
      <c r="AJ197" s="1133"/>
      <c r="BE197" s="462"/>
    </row>
    <row r="198" spans="1:57" s="441" customFormat="1" ht="15" customHeight="1" x14ac:dyDescent="0.3">
      <c r="A198" s="440"/>
      <c r="B198" s="983">
        <v>1</v>
      </c>
      <c r="C198" s="973" t="s">
        <v>247</v>
      </c>
      <c r="D198" s="836">
        <f>E295</f>
        <v>5</v>
      </c>
      <c r="E198" s="974">
        <f>Admin!F4</f>
        <v>0.1</v>
      </c>
      <c r="F198" s="1960">
        <f t="shared" ref="F198:F203" si="38">E198*D198</f>
        <v>0.5</v>
      </c>
      <c r="G198" s="1959" t="str">
        <f t="shared" ref="G198:G203" si="39">VLOOKUP(D198,$J$198:$L$207,3,TRUE)</f>
        <v>Very Strong</v>
      </c>
      <c r="H198" s="1957"/>
      <c r="I198" s="993">
        <v>1</v>
      </c>
      <c r="J198" s="836">
        <v>0</v>
      </c>
      <c r="K198" s="990">
        <f>J198+$L$196</f>
        <v>0.5</v>
      </c>
      <c r="L198" s="994" t="s">
        <v>25</v>
      </c>
      <c r="M198" s="440"/>
      <c r="N198" s="993">
        <f>N197+1</f>
        <v>2</v>
      </c>
      <c r="O198" s="459" t="s">
        <v>10</v>
      </c>
      <c r="P198" s="459">
        <v>1</v>
      </c>
      <c r="Q198" s="994"/>
      <c r="U198" s="844"/>
      <c r="AD198" s="830" t="s">
        <v>39</v>
      </c>
      <c r="AE198" s="830">
        <f t="shared" ca="1" si="37"/>
        <v>0</v>
      </c>
      <c r="AF198" s="834">
        <f ca="1">AE198/$AE$202</f>
        <v>0</v>
      </c>
      <c r="AH198" s="512"/>
      <c r="AI198" s="512"/>
      <c r="AJ198" s="1133"/>
      <c r="BE198" s="462"/>
    </row>
    <row r="199" spans="1:57" s="441" customFormat="1" ht="31.5" customHeight="1" thickBot="1" x14ac:dyDescent="0.35">
      <c r="A199" s="440"/>
      <c r="B199" s="984">
        <f>B198+1</f>
        <v>2</v>
      </c>
      <c r="C199" s="975" t="s">
        <v>248</v>
      </c>
      <c r="D199" s="836">
        <f ca="1">E350</f>
        <v>5</v>
      </c>
      <c r="E199" s="974">
        <f>Admin!F9</f>
        <v>0.3</v>
      </c>
      <c r="F199" s="1960">
        <f t="shared" ca="1" si="38"/>
        <v>1.5</v>
      </c>
      <c r="G199" s="1959" t="str">
        <f t="shared" ca="1" si="39"/>
        <v>Very Strong</v>
      </c>
      <c r="H199" s="1957"/>
      <c r="I199" s="993">
        <f t="shared" ref="I199:I207" si="40">I198+1</f>
        <v>2</v>
      </c>
      <c r="J199" s="990">
        <f>K198+0.001</f>
        <v>0.501</v>
      </c>
      <c r="K199" s="990">
        <f t="shared" ref="K199:K207" si="41">K198+$L$196</f>
        <v>1</v>
      </c>
      <c r="L199" s="994" t="s">
        <v>24</v>
      </c>
      <c r="M199" s="440"/>
      <c r="N199" s="988">
        <f>N198+1</f>
        <v>3</v>
      </c>
      <c r="O199" s="998" t="s">
        <v>11</v>
      </c>
      <c r="P199" s="998">
        <f ca="1">360-P197-P198</f>
        <v>184.78879999999998</v>
      </c>
      <c r="Q199" s="999"/>
      <c r="U199" s="844"/>
      <c r="AD199" s="830" t="s">
        <v>61</v>
      </c>
      <c r="AE199" s="830">
        <f t="shared" ca="1" si="37"/>
        <v>0</v>
      </c>
      <c r="AF199" s="834">
        <f ca="1">AE199/$AE$202</f>
        <v>0</v>
      </c>
      <c r="AH199" s="512"/>
      <c r="AI199" s="512"/>
      <c r="AJ199" s="1133"/>
      <c r="BE199" s="462"/>
    </row>
    <row r="200" spans="1:57" s="441" customFormat="1" ht="15.75" customHeight="1" x14ac:dyDescent="0.3">
      <c r="A200" s="440"/>
      <c r="B200" s="985">
        <f>B199+1</f>
        <v>3</v>
      </c>
      <c r="C200" s="976" t="s">
        <v>103</v>
      </c>
      <c r="D200" s="977">
        <f>E413</f>
        <v>5</v>
      </c>
      <c r="E200" s="974">
        <f>Admin!F16</f>
        <v>0.2</v>
      </c>
      <c r="F200" s="1960">
        <f t="shared" si="38"/>
        <v>1</v>
      </c>
      <c r="G200" s="1959" t="str">
        <f t="shared" si="39"/>
        <v>Very Strong</v>
      </c>
      <c r="H200" s="1957"/>
      <c r="I200" s="993">
        <f t="shared" si="40"/>
        <v>3</v>
      </c>
      <c r="J200" s="990">
        <f t="shared" ref="J200:J207" si="42">K199+0.001</f>
        <v>1.0009999999999999</v>
      </c>
      <c r="K200" s="990">
        <f t="shared" si="41"/>
        <v>1.5</v>
      </c>
      <c r="L200" s="994" t="s">
        <v>23</v>
      </c>
      <c r="M200" s="440"/>
      <c r="N200" s="440"/>
      <c r="O200" s="440"/>
      <c r="P200" s="440"/>
      <c r="Q200" s="440"/>
      <c r="R200" s="440"/>
      <c r="S200" s="440"/>
      <c r="U200" s="844"/>
      <c r="AD200" s="831" t="s">
        <v>160</v>
      </c>
      <c r="AE200" s="830">
        <f t="shared" ca="1" si="37"/>
        <v>4</v>
      </c>
      <c r="AF200" s="834">
        <f ca="1">AE200/$AE$202</f>
        <v>2.7777777777777776E-2</v>
      </c>
      <c r="AH200" s="451"/>
      <c r="AI200" s="512"/>
      <c r="AJ200" s="1133"/>
      <c r="BE200" s="462"/>
    </row>
    <row r="201" spans="1:57" s="440" customFormat="1" ht="30.75" customHeight="1" x14ac:dyDescent="0.3">
      <c r="B201" s="985">
        <f>B200+1</f>
        <v>4</v>
      </c>
      <c r="C201" s="976" t="s">
        <v>557</v>
      </c>
      <c r="D201" s="977">
        <f>E437</f>
        <v>5</v>
      </c>
      <c r="E201" s="974">
        <f>Admin!F25</f>
        <v>0.1</v>
      </c>
      <c r="F201" s="1960">
        <f t="shared" si="38"/>
        <v>0.5</v>
      </c>
      <c r="G201" s="1959" t="str">
        <f t="shared" si="39"/>
        <v>Very Strong</v>
      </c>
      <c r="H201" s="1957"/>
      <c r="I201" s="993">
        <f t="shared" si="40"/>
        <v>4</v>
      </c>
      <c r="J201" s="990">
        <f t="shared" si="42"/>
        <v>1.5009999999999999</v>
      </c>
      <c r="K201" s="990">
        <f t="shared" si="41"/>
        <v>2</v>
      </c>
      <c r="L201" s="994" t="s">
        <v>22</v>
      </c>
      <c r="T201" s="441"/>
      <c r="U201" s="441"/>
      <c r="V201" s="441"/>
      <c r="W201" s="441"/>
      <c r="X201" s="441"/>
      <c r="Y201" s="441"/>
      <c r="Z201" s="441"/>
      <c r="AA201" s="441"/>
      <c r="AB201" s="441"/>
      <c r="AC201" s="441"/>
      <c r="AD201" s="831" t="s">
        <v>79</v>
      </c>
      <c r="AE201" s="830">
        <f t="shared" ca="1" si="37"/>
        <v>0</v>
      </c>
      <c r="AF201" s="834">
        <f ca="1">AE201/$AE$202</f>
        <v>0</v>
      </c>
      <c r="AG201" s="441"/>
      <c r="AH201" s="451"/>
      <c r="AI201" s="512"/>
      <c r="AJ201" s="1133"/>
      <c r="BE201" s="439"/>
    </row>
    <row r="202" spans="1:57" s="440" customFormat="1" ht="45.75" customHeight="1" x14ac:dyDescent="0.3">
      <c r="B202" s="986">
        <f>B201+1</f>
        <v>5</v>
      </c>
      <c r="C202" s="978" t="s">
        <v>30</v>
      </c>
      <c r="D202" s="836">
        <f>E457</f>
        <v>4.1959999999999997</v>
      </c>
      <c r="E202" s="974">
        <f>Admin!F28</f>
        <v>0.2</v>
      </c>
      <c r="F202" s="1960">
        <f t="shared" si="38"/>
        <v>0.83919999999999995</v>
      </c>
      <c r="G202" s="1959" t="str">
        <f t="shared" si="39"/>
        <v>Strong</v>
      </c>
      <c r="H202" s="1957"/>
      <c r="I202" s="993">
        <f t="shared" si="40"/>
        <v>5</v>
      </c>
      <c r="J202" s="990">
        <f t="shared" si="42"/>
        <v>2.0009999999999999</v>
      </c>
      <c r="K202" s="990">
        <f t="shared" si="41"/>
        <v>2.5</v>
      </c>
      <c r="L202" s="994" t="s">
        <v>21</v>
      </c>
      <c r="T202" s="441"/>
      <c r="U202" s="441"/>
      <c r="V202" s="441"/>
      <c r="W202" s="441"/>
      <c r="X202" s="441"/>
      <c r="Y202" s="441"/>
      <c r="Z202" s="441"/>
      <c r="AA202" s="441"/>
      <c r="AB202" s="441"/>
      <c r="AC202" s="441"/>
      <c r="AD202" s="831" t="s">
        <v>220</v>
      </c>
      <c r="AE202" s="830">
        <f t="shared" ca="1" si="37"/>
        <v>144</v>
      </c>
      <c r="AF202" s="780"/>
      <c r="AG202" s="441"/>
      <c r="AH202" s="451"/>
      <c r="AI202" s="512"/>
      <c r="AJ202" s="441"/>
      <c r="BE202" s="439"/>
    </row>
    <row r="203" spans="1:57" s="440" customFormat="1" ht="15.75" customHeight="1" x14ac:dyDescent="0.3">
      <c r="B203" s="987">
        <f>B202+1</f>
        <v>6</v>
      </c>
      <c r="C203" s="979" t="s">
        <v>667</v>
      </c>
      <c r="D203" s="836">
        <f>E498</f>
        <v>5.0000000000000009</v>
      </c>
      <c r="E203" s="974">
        <f>Admin!F31</f>
        <v>0.1</v>
      </c>
      <c r="F203" s="1960">
        <f t="shared" si="38"/>
        <v>0.50000000000000011</v>
      </c>
      <c r="G203" s="1959" t="str">
        <f t="shared" si="39"/>
        <v>Very Strong</v>
      </c>
      <c r="H203" s="1957"/>
      <c r="I203" s="993">
        <f t="shared" si="40"/>
        <v>6</v>
      </c>
      <c r="J203" s="990">
        <f t="shared" si="42"/>
        <v>2.5009999999999999</v>
      </c>
      <c r="K203" s="990">
        <f t="shared" si="41"/>
        <v>3</v>
      </c>
      <c r="L203" s="994" t="s">
        <v>20</v>
      </c>
      <c r="T203" s="441"/>
      <c r="U203" s="441"/>
      <c r="V203" s="441"/>
      <c r="W203" s="441"/>
      <c r="X203" s="441"/>
      <c r="Y203" s="441"/>
      <c r="Z203" s="441"/>
      <c r="AA203" s="441"/>
      <c r="AB203" s="441"/>
      <c r="AC203" s="441"/>
      <c r="AD203" s="441"/>
      <c r="AE203" s="441"/>
      <c r="AF203" s="441"/>
      <c r="AG203" s="441"/>
      <c r="BE203" s="439"/>
    </row>
    <row r="204" spans="1:57" s="440" customFormat="1" ht="15.75" customHeight="1" thickBot="1" x14ac:dyDescent="0.35">
      <c r="B204" s="1939"/>
      <c r="C204" s="1940" t="s">
        <v>7</v>
      </c>
      <c r="D204" s="1941"/>
      <c r="E204" s="1942">
        <f>SUM(E198:E203)</f>
        <v>1.0000000000000002</v>
      </c>
      <c r="F204" s="1943">
        <f ca="1">IF(G186="Fail",0,IF(E265&gt;=$D$152,MIN(G265,SUM(F198:F203)),SUM(F198:F203)))</f>
        <v>4.8391999999999999</v>
      </c>
      <c r="G204" s="1949" t="str">
        <f>IF(G186="Fail","Prereq Failed",IF(E265&gt;=$D$152,"DBC Triggered",""))</f>
        <v/>
      </c>
      <c r="I204" s="993">
        <f t="shared" si="40"/>
        <v>7</v>
      </c>
      <c r="J204" s="990">
        <f t="shared" si="42"/>
        <v>3.0009999999999999</v>
      </c>
      <c r="K204" s="990">
        <f t="shared" si="41"/>
        <v>3.5</v>
      </c>
      <c r="L204" s="994" t="s">
        <v>26</v>
      </c>
      <c r="T204" s="441"/>
      <c r="U204" s="441"/>
      <c r="V204" s="441"/>
      <c r="W204" s="441"/>
      <c r="X204" s="441"/>
      <c r="Y204" s="441"/>
      <c r="Z204" s="441"/>
      <c r="AA204" s="441"/>
      <c r="AB204" s="441"/>
      <c r="AC204" s="441"/>
      <c r="AD204" s="441"/>
      <c r="AE204" s="441"/>
      <c r="AF204" s="441"/>
      <c r="AG204" s="441"/>
      <c r="BE204" s="439"/>
    </row>
    <row r="205" spans="1:57" s="440" customFormat="1" ht="15" customHeight="1" x14ac:dyDescent="0.3">
      <c r="I205" s="993">
        <f t="shared" si="40"/>
        <v>8</v>
      </c>
      <c r="J205" s="990">
        <f t="shared" si="42"/>
        <v>3.5009999999999999</v>
      </c>
      <c r="K205" s="990">
        <f t="shared" si="41"/>
        <v>4</v>
      </c>
      <c r="L205" s="994" t="s">
        <v>19</v>
      </c>
      <c r="T205" s="441"/>
      <c r="U205" s="441"/>
      <c r="V205" s="441"/>
      <c r="W205" s="441"/>
      <c r="X205" s="441"/>
      <c r="Y205" s="441"/>
      <c r="Z205" s="441"/>
      <c r="AA205" s="441"/>
      <c r="AB205" s="441"/>
      <c r="AC205" s="441"/>
      <c r="AD205" s="441"/>
      <c r="AE205" s="441"/>
      <c r="AF205" s="441"/>
      <c r="AG205" s="441"/>
      <c r="BE205" s="439"/>
    </row>
    <row r="206" spans="1:57" s="440" customFormat="1" ht="15" customHeight="1" x14ac:dyDescent="0.3">
      <c r="I206" s="993">
        <f t="shared" si="40"/>
        <v>9</v>
      </c>
      <c r="J206" s="990">
        <f t="shared" si="42"/>
        <v>4.0010000000000003</v>
      </c>
      <c r="K206" s="990">
        <f t="shared" si="41"/>
        <v>4.5</v>
      </c>
      <c r="L206" s="994" t="s">
        <v>18</v>
      </c>
      <c r="T206" s="441"/>
      <c r="U206" s="441"/>
      <c r="V206" s="441"/>
      <c r="W206" s="441"/>
      <c r="X206" s="441"/>
      <c r="Y206" s="441"/>
      <c r="Z206" s="441"/>
      <c r="AA206" s="441"/>
      <c r="AB206" s="441"/>
      <c r="AC206" s="441"/>
      <c r="AD206" s="441"/>
      <c r="AE206" s="441"/>
      <c r="AF206" s="441"/>
      <c r="AG206" s="441"/>
      <c r="BE206" s="439"/>
    </row>
    <row r="207" spans="1:57" s="440" customFormat="1" ht="15" customHeight="1" x14ac:dyDescent="0.3">
      <c r="F207" s="543"/>
      <c r="I207" s="993">
        <f t="shared" si="40"/>
        <v>10</v>
      </c>
      <c r="J207" s="990">
        <f t="shared" si="42"/>
        <v>4.5010000000000003</v>
      </c>
      <c r="K207" s="990">
        <f t="shared" si="41"/>
        <v>5</v>
      </c>
      <c r="L207" s="994" t="s">
        <v>17</v>
      </c>
      <c r="T207" s="441"/>
      <c r="U207" s="441"/>
      <c r="V207" s="441"/>
      <c r="W207" s="441"/>
      <c r="X207" s="441"/>
      <c r="Y207" s="441"/>
      <c r="Z207" s="441"/>
      <c r="AA207" s="441"/>
      <c r="AB207" s="441"/>
      <c r="AC207" s="441"/>
      <c r="AD207" s="441"/>
      <c r="AE207" s="441"/>
      <c r="AF207" s="441"/>
      <c r="AG207" s="441"/>
      <c r="BE207" s="439"/>
    </row>
    <row r="208" spans="1:57" s="440" customFormat="1" ht="15" thickBot="1" x14ac:dyDescent="0.35">
      <c r="I208" s="995" t="s">
        <v>16</v>
      </c>
      <c r="J208" s="996"/>
      <c r="K208" s="1961">
        <f ca="1">F204</f>
        <v>4.8391999999999999</v>
      </c>
      <c r="L208" s="1948" t="str">
        <f ca="1">IF(G186="Fail","DEAL BREAKER",VLOOKUP(F204,J198:L207,3,TRUE))</f>
        <v>Very Strong</v>
      </c>
      <c r="T208" s="441"/>
      <c r="U208" s="441"/>
      <c r="V208" s="441"/>
      <c r="W208" s="441"/>
      <c r="X208" s="441"/>
      <c r="Y208" s="441"/>
      <c r="Z208" s="441"/>
      <c r="AA208" s="441"/>
      <c r="AB208" s="441"/>
      <c r="AC208" s="441"/>
      <c r="AD208" s="441"/>
      <c r="AE208" s="441"/>
      <c r="AF208" s="441"/>
      <c r="AG208" s="441"/>
      <c r="BE208" s="439"/>
    </row>
    <row r="209" spans="1:58" s="440" customFormat="1" ht="15" customHeight="1" x14ac:dyDescent="0.3">
      <c r="BE209" s="439"/>
    </row>
    <row r="210" spans="1:58" s="440" customFormat="1" ht="26.25" customHeight="1" x14ac:dyDescent="0.5">
      <c r="A210" s="823" t="s">
        <v>504</v>
      </c>
      <c r="B210" s="482"/>
      <c r="C210" s="482"/>
      <c r="D210" s="482"/>
      <c r="E210" s="482"/>
      <c r="F210" s="483"/>
      <c r="G210" s="484"/>
      <c r="H210" s="482"/>
      <c r="I210" s="482"/>
      <c r="J210" s="482"/>
      <c r="K210" s="484"/>
      <c r="L210" s="482"/>
      <c r="M210" s="482"/>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2"/>
      <c r="AJ210" s="482"/>
      <c r="AK210" s="482"/>
      <c r="AL210" s="482"/>
      <c r="AM210" s="482"/>
      <c r="AN210" s="482"/>
      <c r="AO210" s="482"/>
      <c r="AP210" s="482"/>
      <c r="AQ210" s="482"/>
      <c r="AR210" s="482"/>
      <c r="AS210" s="482"/>
      <c r="AT210" s="482"/>
      <c r="AU210" s="482"/>
      <c r="AV210" s="482"/>
      <c r="AW210" s="482"/>
      <c r="AX210" s="482"/>
      <c r="AY210" s="482"/>
      <c r="AZ210" s="482"/>
      <c r="BA210" s="482"/>
      <c r="BB210" s="482"/>
      <c r="BC210" s="482"/>
      <c r="BD210" s="482"/>
      <c r="BE210" s="485"/>
      <c r="BF210" s="486"/>
    </row>
    <row r="211" spans="1:58" s="440" customFormat="1" ht="16.5" customHeight="1" x14ac:dyDescent="0.5">
      <c r="A211" s="487"/>
      <c r="B211" s="486"/>
      <c r="C211" s="486"/>
      <c r="D211" s="486"/>
      <c r="E211" s="486"/>
      <c r="F211" s="488"/>
      <c r="G211" s="489"/>
      <c r="H211" s="486"/>
      <c r="I211" s="486"/>
      <c r="J211" s="486"/>
      <c r="K211" s="489"/>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86"/>
      <c r="AM211" s="486"/>
      <c r="AN211" s="486"/>
      <c r="AO211" s="486"/>
      <c r="AP211" s="486"/>
      <c r="AQ211" s="486"/>
      <c r="AR211" s="486"/>
      <c r="AS211" s="486"/>
      <c r="AT211" s="486"/>
      <c r="AU211" s="486"/>
      <c r="AV211" s="486"/>
      <c r="AW211" s="486"/>
      <c r="AX211" s="486"/>
      <c r="AY211" s="486"/>
      <c r="AZ211" s="486"/>
      <c r="BA211" s="486"/>
      <c r="BB211" s="486"/>
      <c r="BC211" s="486"/>
      <c r="BD211" s="486"/>
      <c r="BE211" s="485"/>
      <c r="BF211" s="486"/>
    </row>
    <row r="212" spans="1:58" s="440" customFormat="1" ht="48" customHeight="1" x14ac:dyDescent="0.5">
      <c r="A212" s="487"/>
      <c r="B212" s="490" t="s">
        <v>31</v>
      </c>
      <c r="C212" s="490" t="s">
        <v>0</v>
      </c>
      <c r="D212" s="491"/>
      <c r="E212" s="491" t="s">
        <v>177</v>
      </c>
      <c r="F212" s="491" t="s">
        <v>2</v>
      </c>
      <c r="G212" s="491" t="s">
        <v>181</v>
      </c>
      <c r="H212" s="491" t="s">
        <v>182</v>
      </c>
      <c r="I212" s="491" t="s">
        <v>178</v>
      </c>
      <c r="J212" s="492" t="s">
        <v>127</v>
      </c>
      <c r="K212" s="491" t="s">
        <v>179</v>
      </c>
      <c r="L212" s="491" t="s">
        <v>180</v>
      </c>
      <c r="M212" s="491" t="s">
        <v>77</v>
      </c>
      <c r="N212" s="491" t="s">
        <v>9</v>
      </c>
      <c r="O212" s="491" t="s">
        <v>250</v>
      </c>
      <c r="P212" s="491" t="s">
        <v>251</v>
      </c>
      <c r="Q212" s="491" t="s">
        <v>252</v>
      </c>
      <c r="R212" s="491"/>
      <c r="S212" s="486"/>
      <c r="T212" s="486"/>
      <c r="U212" s="846"/>
      <c r="V212" s="846"/>
      <c r="W212" s="486"/>
      <c r="X212" s="486"/>
      <c r="Y212" s="486"/>
      <c r="Z212" s="486"/>
      <c r="AA212" s="486"/>
      <c r="AB212" s="486"/>
      <c r="AC212" s="486"/>
      <c r="AD212" s="486"/>
      <c r="AE212" s="486"/>
      <c r="AF212" s="486"/>
      <c r="AG212" s="486"/>
      <c r="AH212" s="486"/>
      <c r="AI212" s="486"/>
      <c r="AJ212" s="486"/>
      <c r="AK212" s="486"/>
      <c r="AL212" s="486"/>
      <c r="AM212" s="486"/>
      <c r="AN212" s="486"/>
      <c r="AO212" s="486"/>
      <c r="AP212" s="486"/>
      <c r="AQ212" s="486"/>
      <c r="AR212" s="486"/>
      <c r="AS212" s="486"/>
      <c r="AT212" s="486"/>
      <c r="AU212" s="486"/>
      <c r="AV212" s="486"/>
      <c r="AW212" s="486"/>
      <c r="AX212" s="486"/>
      <c r="AY212" s="486"/>
      <c r="AZ212" s="486"/>
      <c r="BA212" s="486"/>
      <c r="BB212" s="486"/>
      <c r="BC212" s="486"/>
      <c r="BD212" s="486"/>
      <c r="BE212" s="485"/>
      <c r="BF212" s="486"/>
    </row>
    <row r="213" spans="1:58" s="440" customFormat="1" ht="25.8" x14ac:dyDescent="0.5">
      <c r="A213" s="487"/>
      <c r="B213" s="490"/>
      <c r="C213" s="490"/>
      <c r="D213" s="490" t="s">
        <v>54</v>
      </c>
      <c r="E213" s="490" t="b">
        <v>1</v>
      </c>
      <c r="F213" s="491" t="s">
        <v>129</v>
      </c>
      <c r="G213" s="491" t="s">
        <v>128</v>
      </c>
      <c r="H213" s="490">
        <v>100</v>
      </c>
      <c r="I213" s="490"/>
      <c r="J213" s="491"/>
      <c r="K213" s="490"/>
      <c r="L213" s="490"/>
      <c r="M213" s="490"/>
      <c r="N213" s="490"/>
      <c r="O213" s="490"/>
      <c r="P213" s="490"/>
      <c r="Q213" s="490">
        <v>5</v>
      </c>
      <c r="R213" s="490"/>
      <c r="S213" s="486"/>
      <c r="T213" s="486"/>
      <c r="U213" s="846"/>
      <c r="V213" s="846"/>
      <c r="W213" s="486"/>
      <c r="X213" s="486"/>
      <c r="Y213" s="486"/>
      <c r="Z213" s="486"/>
      <c r="AA213" s="486"/>
      <c r="AB213" s="486"/>
      <c r="AC213" s="486"/>
      <c r="AD213" s="486"/>
      <c r="AE213" s="486"/>
      <c r="AF213" s="486"/>
      <c r="AG213" s="486"/>
      <c r="AH213" s="486"/>
      <c r="AI213" s="486"/>
      <c r="AJ213" s="486"/>
      <c r="AK213" s="486"/>
      <c r="AL213" s="486"/>
      <c r="AM213" s="486"/>
      <c r="AN213" s="486"/>
      <c r="AO213" s="486"/>
      <c r="AP213" s="486"/>
      <c r="AQ213" s="486"/>
      <c r="AR213" s="486"/>
      <c r="AS213" s="486"/>
      <c r="AT213" s="486"/>
      <c r="AU213" s="486"/>
      <c r="AV213" s="486"/>
      <c r="AW213" s="486"/>
      <c r="AX213" s="486"/>
      <c r="AY213" s="486"/>
      <c r="AZ213" s="486"/>
      <c r="BA213" s="486"/>
      <c r="BB213" s="486"/>
      <c r="BC213" s="486"/>
      <c r="BD213" s="486"/>
      <c r="BE213" s="485"/>
      <c r="BF213" s="486"/>
    </row>
    <row r="214" spans="1:58" s="440" customFormat="1" ht="16.5" customHeight="1" x14ac:dyDescent="0.5">
      <c r="A214" s="487"/>
      <c r="B214" s="473" t="s">
        <v>44</v>
      </c>
      <c r="C214" s="493" t="s">
        <v>4</v>
      </c>
      <c r="D214" s="709" t="str">
        <f>IF(COUNTIF(D215:D245,"X")&gt;0,"DBC","Proceed")</f>
        <v>Proceed</v>
      </c>
      <c r="E214" s="461">
        <v>10</v>
      </c>
      <c r="F214" s="461">
        <v>64</v>
      </c>
      <c r="G214" s="461">
        <f>IF($E$213*1=1,E214,MIN(F214,MAX(0,H213)))</f>
        <v>10</v>
      </c>
      <c r="H214" s="494">
        <f>H213-G214</f>
        <v>90</v>
      </c>
      <c r="I214" s="461"/>
      <c r="J214" s="461" t="s">
        <v>129</v>
      </c>
      <c r="K214" s="460" t="s">
        <v>128</v>
      </c>
      <c r="L214" s="461">
        <v>100</v>
      </c>
      <c r="M214" s="461" t="b">
        <v>1</v>
      </c>
      <c r="N214" s="461"/>
      <c r="O214" s="461"/>
      <c r="P214" s="461"/>
      <c r="Q214" s="461"/>
      <c r="R214" s="461"/>
      <c r="S214" s="486"/>
      <c r="T214" s="486"/>
      <c r="U214" s="1067"/>
      <c r="V214" s="1067"/>
      <c r="W214" s="486"/>
      <c r="X214" s="486"/>
      <c r="Y214" s="486"/>
      <c r="Z214" s="486"/>
      <c r="AA214" s="486"/>
      <c r="AB214" s="486"/>
      <c r="AC214" s="486"/>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486"/>
      <c r="AY214" s="486"/>
      <c r="AZ214" s="486"/>
      <c r="BA214" s="486"/>
      <c r="BB214" s="486"/>
      <c r="BC214" s="486"/>
      <c r="BD214" s="486"/>
      <c r="BE214" s="485"/>
      <c r="BF214" s="486"/>
    </row>
    <row r="215" spans="1:58" s="440" customFormat="1" ht="29.25" customHeight="1" x14ac:dyDescent="0.5">
      <c r="A215" s="487"/>
      <c r="B215" s="473">
        <v>1</v>
      </c>
      <c r="C215" s="495" t="str">
        <f>W275</f>
        <v>Alignment with government priorities</v>
      </c>
      <c r="D215" s="494">
        <f>Admin!M5</f>
        <v>0</v>
      </c>
      <c r="E215" s="494"/>
      <c r="F215" s="494"/>
      <c r="G215" s="494"/>
      <c r="H215" s="494"/>
      <c r="I215" s="496">
        <v>25</v>
      </c>
      <c r="J215" s="461">
        <f>Admin!G5</f>
        <v>5</v>
      </c>
      <c r="K215" s="461">
        <f>IF($M$214*1=1,I215,IF(J215&lt;5,5,MIN(J215,L214,P215)))</f>
        <v>25</v>
      </c>
      <c r="L215" s="461">
        <f>L214-K215</f>
        <v>75</v>
      </c>
      <c r="M215" s="461">
        <f>$M$214*1</f>
        <v>1</v>
      </c>
      <c r="N215" s="497">
        <f>I215</f>
        <v>25</v>
      </c>
      <c r="O215" s="461">
        <f>COUNT(B215)*$Q$213</f>
        <v>5</v>
      </c>
      <c r="P215" s="461">
        <f>L214-SUM(O216:O218)</f>
        <v>85</v>
      </c>
      <c r="Q215" s="461"/>
      <c r="R215" s="461"/>
      <c r="S215" s="486"/>
      <c r="T215" s="486"/>
      <c r="U215" s="1068"/>
      <c r="V215" s="1068"/>
      <c r="W215" s="486"/>
      <c r="X215" s="486"/>
      <c r="Y215" s="486"/>
      <c r="Z215" s="486"/>
      <c r="AA215" s="486"/>
      <c r="AB215" s="486"/>
      <c r="AC215" s="486"/>
      <c r="AD215" s="486"/>
      <c r="AE215" s="486"/>
      <c r="AF215" s="486"/>
      <c r="AG215" s="486"/>
      <c r="AH215" s="486"/>
      <c r="AI215" s="486"/>
      <c r="AJ215" s="486"/>
      <c r="AK215" s="486"/>
      <c r="AL215" s="486"/>
      <c r="AM215" s="486"/>
      <c r="AN215" s="486"/>
      <c r="AO215" s="486"/>
      <c r="AP215" s="486"/>
      <c r="AQ215" s="486"/>
      <c r="AR215" s="486"/>
      <c r="AS215" s="486"/>
      <c r="AT215" s="486"/>
      <c r="AU215" s="486"/>
      <c r="AV215" s="486"/>
      <c r="AW215" s="486"/>
      <c r="AX215" s="486"/>
      <c r="AY215" s="486"/>
      <c r="AZ215" s="486"/>
      <c r="BA215" s="486"/>
      <c r="BB215" s="486"/>
      <c r="BC215" s="486"/>
      <c r="BD215" s="486"/>
      <c r="BE215" s="485"/>
      <c r="BF215" s="486"/>
    </row>
    <row r="216" spans="1:58" s="440" customFormat="1" ht="16.5" customHeight="1" x14ac:dyDescent="0.5">
      <c r="A216" s="487"/>
      <c r="B216" s="473">
        <f t="shared" ref="B216:B218" si="43">B215+1</f>
        <v>2</v>
      </c>
      <c r="C216" s="495" t="str">
        <f>W276</f>
        <v>Identification of service need</v>
      </c>
      <c r="D216" s="494">
        <f>Admin!M6</f>
        <v>0</v>
      </c>
      <c r="E216" s="494"/>
      <c r="F216" s="494"/>
      <c r="G216" s="494"/>
      <c r="H216" s="494"/>
      <c r="I216" s="496">
        <v>25</v>
      </c>
      <c r="J216" s="461">
        <f>Admin!G6</f>
        <v>5</v>
      </c>
      <c r="K216" s="461">
        <f>IF($M$214*1=1,I216,IF(J216&lt;5,5,MIN(J216,L215,P216)))</f>
        <v>25</v>
      </c>
      <c r="L216" s="461">
        <f>L215-K216</f>
        <v>50</v>
      </c>
      <c r="M216" s="461">
        <f>$M$214*1</f>
        <v>1</v>
      </c>
      <c r="N216" s="497">
        <f>I216</f>
        <v>25</v>
      </c>
      <c r="O216" s="461">
        <f>COUNT(B216)*$Q$213</f>
        <v>5</v>
      </c>
      <c r="P216" s="461">
        <f>L215-SUM(O217:$O$219)</f>
        <v>65</v>
      </c>
      <c r="Q216" s="461"/>
      <c r="R216" s="461"/>
      <c r="S216" s="486"/>
      <c r="T216" s="486"/>
      <c r="U216" s="1068"/>
      <c r="V216" s="1068"/>
      <c r="W216" s="486"/>
      <c r="X216" s="486"/>
      <c r="Y216" s="486"/>
      <c r="Z216" s="486"/>
      <c r="AA216" s="486"/>
      <c r="AB216" s="486"/>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6"/>
      <c r="AY216" s="486"/>
      <c r="AZ216" s="486"/>
      <c r="BA216" s="486"/>
      <c r="BB216" s="486"/>
      <c r="BC216" s="486"/>
      <c r="BD216" s="486"/>
      <c r="BE216" s="485"/>
      <c r="BF216" s="486"/>
    </row>
    <row r="217" spans="1:58" s="440" customFormat="1" ht="16.5" customHeight="1" x14ac:dyDescent="0.5">
      <c r="A217" s="487"/>
      <c r="B217" s="473">
        <f t="shared" si="43"/>
        <v>3</v>
      </c>
      <c r="C217" s="495" t="str">
        <f>W277</f>
        <v>Assessment of service delivery options</v>
      </c>
      <c r="D217" s="494">
        <f>Admin!M7</f>
        <v>0</v>
      </c>
      <c r="E217" s="494"/>
      <c r="F217" s="494"/>
      <c r="G217" s="494"/>
      <c r="H217" s="494"/>
      <c r="I217" s="496">
        <v>25</v>
      </c>
      <c r="J217" s="461">
        <f>Admin!G7</f>
        <v>5</v>
      </c>
      <c r="K217" s="461">
        <f>IF($M$214*1=1,I217,IF(J217&lt;5,5,MIN(J217,L216,P217)))</f>
        <v>25</v>
      </c>
      <c r="L217" s="461">
        <f>L216-K217</f>
        <v>25</v>
      </c>
      <c r="M217" s="461">
        <f>$M$214*1</f>
        <v>1</v>
      </c>
      <c r="N217" s="497">
        <f>I217</f>
        <v>25</v>
      </c>
      <c r="O217" s="461">
        <f>COUNT(B217)*$Q$213</f>
        <v>5</v>
      </c>
      <c r="P217" s="461">
        <f>L216-SUM(O218:$O$219)</f>
        <v>45</v>
      </c>
      <c r="Q217" s="461"/>
      <c r="R217" s="461"/>
      <c r="S217" s="486"/>
      <c r="T217" s="486"/>
      <c r="U217" s="1068"/>
      <c r="V217" s="1068"/>
      <c r="W217" s="486"/>
      <c r="X217" s="486"/>
      <c r="Y217" s="486"/>
      <c r="Z217" s="486"/>
      <c r="AA217" s="486"/>
      <c r="AB217" s="486"/>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6"/>
      <c r="AY217" s="486"/>
      <c r="AZ217" s="486"/>
      <c r="BA217" s="486"/>
      <c r="BB217" s="486"/>
      <c r="BC217" s="486"/>
      <c r="BD217" s="486"/>
      <c r="BE217" s="485"/>
      <c r="BF217" s="486"/>
    </row>
    <row r="218" spans="1:58" s="440" customFormat="1" ht="16.5" customHeight="1" x14ac:dyDescent="0.5">
      <c r="A218" s="487"/>
      <c r="B218" s="473">
        <f t="shared" si="43"/>
        <v>4</v>
      </c>
      <c r="C218" s="495" t="str">
        <f>W278</f>
        <v>Scoping of the project</v>
      </c>
      <c r="D218" s="494"/>
      <c r="E218" s="494"/>
      <c r="F218" s="494"/>
      <c r="G218" s="494"/>
      <c r="H218" s="494"/>
      <c r="I218" s="496">
        <v>25</v>
      </c>
      <c r="J218" s="461">
        <f>Admin!G8</f>
        <v>5</v>
      </c>
      <c r="K218" s="461">
        <f>IF($M$214*1=1,I218,IF(J218&lt;5,5,IF(MIN(J218,L217,P218)+SUM(K215:K216)&lt;L214,L214-SUM(K215:K217),MIN(J218,L217,P218))))</f>
        <v>25</v>
      </c>
      <c r="L218" s="461">
        <f>L217-K218</f>
        <v>0</v>
      </c>
      <c r="M218" s="461">
        <f>$M$214*1</f>
        <v>1</v>
      </c>
      <c r="N218" s="497">
        <f>I218</f>
        <v>25</v>
      </c>
      <c r="O218" s="461">
        <f>COUNT(B218)*$Q$213</f>
        <v>5</v>
      </c>
      <c r="P218" s="461">
        <f>L217-SUM(O219:$O$219)</f>
        <v>25</v>
      </c>
      <c r="Q218" s="461"/>
      <c r="R218" s="461"/>
      <c r="S218" s="486"/>
      <c r="T218" s="486"/>
      <c r="U218" s="1068"/>
      <c r="V218" s="1068"/>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6"/>
      <c r="AY218" s="486"/>
      <c r="AZ218" s="486"/>
      <c r="BA218" s="486"/>
      <c r="BB218" s="486"/>
      <c r="BC218" s="486"/>
      <c r="BD218" s="486"/>
      <c r="BE218" s="485"/>
      <c r="BF218" s="486"/>
    </row>
    <row r="219" spans="1:58" s="440" customFormat="1" ht="16.5" customHeight="1" x14ac:dyDescent="0.5">
      <c r="A219" s="487"/>
      <c r="B219" s="475" t="s">
        <v>175</v>
      </c>
      <c r="C219" s="498" t="s">
        <v>5</v>
      </c>
      <c r="D219" s="494"/>
      <c r="E219" s="494">
        <v>30</v>
      </c>
      <c r="F219" s="494">
        <v>0</v>
      </c>
      <c r="G219" s="494">
        <f>IF($E$213*1=1,E219,MIN(F219,MAX(0,H214)))</f>
        <v>30</v>
      </c>
      <c r="H219" s="494">
        <f>H214-G219</f>
        <v>60</v>
      </c>
      <c r="I219" s="494"/>
      <c r="J219" s="461"/>
      <c r="K219" s="461"/>
      <c r="L219" s="461">
        <v>100</v>
      </c>
      <c r="M219" s="461" t="b">
        <v>1</v>
      </c>
      <c r="N219" s="461"/>
      <c r="O219" s="461"/>
      <c r="P219" s="461"/>
      <c r="Q219" s="461"/>
      <c r="R219" s="461"/>
      <c r="S219" s="486"/>
      <c r="T219" s="486"/>
      <c r="U219" s="1067"/>
      <c r="V219" s="1067"/>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6"/>
      <c r="AY219" s="486"/>
      <c r="AZ219" s="486"/>
      <c r="BA219" s="486"/>
      <c r="BB219" s="486"/>
      <c r="BC219" s="486"/>
      <c r="BD219" s="486"/>
      <c r="BE219" s="485"/>
      <c r="BF219" s="486"/>
    </row>
    <row r="220" spans="1:58" s="440" customFormat="1" ht="16.5" customHeight="1" x14ac:dyDescent="0.5">
      <c r="A220" s="487"/>
      <c r="B220" s="475">
        <v>1</v>
      </c>
      <c r="C220" s="499" t="str">
        <f t="shared" ref="C220:C225" si="44">W301</f>
        <v>Technical Prefeasibility</v>
      </c>
      <c r="D220" s="494">
        <f>Admin!M10</f>
        <v>0</v>
      </c>
      <c r="E220" s="494"/>
      <c r="F220" s="494"/>
      <c r="G220" s="494"/>
      <c r="H220" s="494"/>
      <c r="I220" s="496">
        <v>20</v>
      </c>
      <c r="J220" s="461">
        <f>Admin!G10</f>
        <v>5</v>
      </c>
      <c r="K220" s="461">
        <f>IF($M$219*1=1,I220,IF(J220&lt;5,5,MIN(J220,L219,P220)))</f>
        <v>20</v>
      </c>
      <c r="L220" s="461">
        <f t="shared" ref="L220:L234" si="45">L219-K220</f>
        <v>80</v>
      </c>
      <c r="M220" s="461">
        <f t="shared" ref="M220:M225" si="46">$M$219*1</f>
        <v>1</v>
      </c>
      <c r="N220" s="497">
        <f t="shared" ref="N220:N225" si="47">I220</f>
        <v>20</v>
      </c>
      <c r="O220" s="461">
        <f t="shared" ref="O220:O225" si="48">COUNT(B220)*$Q$213</f>
        <v>5</v>
      </c>
      <c r="P220" s="461">
        <f>L219-SUM(O221:$O$226)</f>
        <v>75</v>
      </c>
      <c r="Q220" s="461"/>
      <c r="R220" s="461"/>
      <c r="S220" s="486"/>
      <c r="T220" s="486"/>
      <c r="U220" s="1068"/>
      <c r="V220" s="1068"/>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6"/>
      <c r="AY220" s="486"/>
      <c r="AZ220" s="486"/>
      <c r="BA220" s="486"/>
      <c r="BB220" s="486"/>
      <c r="BC220" s="486"/>
      <c r="BD220" s="486"/>
      <c r="BE220" s="485"/>
      <c r="BF220" s="486"/>
    </row>
    <row r="221" spans="1:58" s="440" customFormat="1" ht="25.8" x14ac:dyDescent="0.5">
      <c r="A221" s="487"/>
      <c r="B221" s="475">
        <f t="shared" ref="B221:B225" si="49">B220+1</f>
        <v>2</v>
      </c>
      <c r="C221" s="499" t="str">
        <f t="shared" si="44"/>
        <v>Environmental Sustainability</v>
      </c>
      <c r="D221" s="494">
        <f>Admin!M11</f>
        <v>0</v>
      </c>
      <c r="E221" s="494"/>
      <c r="F221" s="494"/>
      <c r="G221" s="494"/>
      <c r="H221" s="494"/>
      <c r="I221" s="496">
        <v>10</v>
      </c>
      <c r="J221" s="461">
        <f>Admin!G11</f>
        <v>0</v>
      </c>
      <c r="K221" s="461">
        <f>IF($M$219*1=1,I221,IF(J221&lt;5,5,MIN(J221,L220,P221)))</f>
        <v>10</v>
      </c>
      <c r="L221" s="461">
        <f t="shared" si="45"/>
        <v>70</v>
      </c>
      <c r="M221" s="461">
        <f t="shared" si="46"/>
        <v>1</v>
      </c>
      <c r="N221" s="497">
        <f t="shared" si="47"/>
        <v>10</v>
      </c>
      <c r="O221" s="461">
        <f t="shared" si="48"/>
        <v>5</v>
      </c>
      <c r="P221" s="461">
        <f>L220-SUM(O222:$O$226)</f>
        <v>60</v>
      </c>
      <c r="Q221" s="461"/>
      <c r="R221" s="461"/>
      <c r="S221" s="486"/>
      <c r="T221" s="486"/>
      <c r="U221" s="1068"/>
      <c r="V221" s="1068"/>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6"/>
      <c r="AY221" s="486"/>
      <c r="AZ221" s="486"/>
      <c r="BA221" s="486"/>
      <c r="BB221" s="486"/>
      <c r="BC221" s="486"/>
      <c r="BD221" s="486"/>
      <c r="BE221" s="485"/>
      <c r="BF221" s="486"/>
    </row>
    <row r="222" spans="1:58" s="440" customFormat="1" ht="16.5" customHeight="1" x14ac:dyDescent="0.5">
      <c r="A222" s="487"/>
      <c r="B222" s="475">
        <f t="shared" si="49"/>
        <v>3</v>
      </c>
      <c r="C222" s="499" t="str">
        <f t="shared" si="44"/>
        <v>Social Sustainability</v>
      </c>
      <c r="D222" s="494">
        <f>Admin!M12</f>
        <v>0</v>
      </c>
      <c r="E222" s="494"/>
      <c r="F222" s="494"/>
      <c r="G222" s="494"/>
      <c r="H222" s="494"/>
      <c r="I222" s="496">
        <v>10</v>
      </c>
      <c r="J222" s="461">
        <f>Admin!G12</f>
        <v>5</v>
      </c>
      <c r="K222" s="461">
        <f>IF($M$219*1=1,I222,IF(J222&lt;5,5,MIN(J222,L221,P222)))</f>
        <v>10</v>
      </c>
      <c r="L222" s="461">
        <f t="shared" si="45"/>
        <v>60</v>
      </c>
      <c r="M222" s="461">
        <f t="shared" si="46"/>
        <v>1</v>
      </c>
      <c r="N222" s="497">
        <f t="shared" si="47"/>
        <v>10</v>
      </c>
      <c r="O222" s="461">
        <f t="shared" si="48"/>
        <v>5</v>
      </c>
      <c r="P222" s="461">
        <f>L221-SUM(O223:$O$226)</f>
        <v>55</v>
      </c>
      <c r="Q222" s="461"/>
      <c r="R222" s="461"/>
      <c r="S222" s="486"/>
      <c r="T222" s="486"/>
      <c r="U222" s="1068"/>
      <c r="V222" s="1068"/>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6"/>
      <c r="AY222" s="486"/>
      <c r="AZ222" s="486"/>
      <c r="BA222" s="486"/>
      <c r="BB222" s="486"/>
      <c r="BC222" s="486"/>
      <c r="BD222" s="486"/>
      <c r="BE222" s="485"/>
      <c r="BF222" s="486"/>
    </row>
    <row r="223" spans="1:58" s="440" customFormat="1" ht="16.5" customHeight="1" x14ac:dyDescent="0.5">
      <c r="A223" s="487"/>
      <c r="B223" s="475">
        <f t="shared" si="49"/>
        <v>4</v>
      </c>
      <c r="C223" s="499" t="str">
        <f t="shared" si="44"/>
        <v>Economic Prefeasibility</v>
      </c>
      <c r="D223" s="494">
        <f>Admin!M13</f>
        <v>0</v>
      </c>
      <c r="E223" s="494"/>
      <c r="F223" s="494"/>
      <c r="G223" s="494"/>
      <c r="H223" s="494"/>
      <c r="I223" s="496">
        <v>10</v>
      </c>
      <c r="J223" s="461">
        <f>Admin!G13</f>
        <v>5</v>
      </c>
      <c r="K223" s="461">
        <f>IF($M$219*1=1,I223,IF(J223&lt;5,5,MIN(J223,L222,P223)))</f>
        <v>10</v>
      </c>
      <c r="L223" s="461">
        <f t="shared" si="45"/>
        <v>50</v>
      </c>
      <c r="M223" s="461">
        <f t="shared" si="46"/>
        <v>1</v>
      </c>
      <c r="N223" s="497">
        <f t="shared" si="47"/>
        <v>10</v>
      </c>
      <c r="O223" s="461">
        <f t="shared" si="48"/>
        <v>5</v>
      </c>
      <c r="P223" s="461">
        <f>L222-SUM(O224:$O$226)</f>
        <v>50</v>
      </c>
      <c r="Q223" s="461"/>
      <c r="R223" s="461"/>
      <c r="S223" s="486"/>
      <c r="T223" s="486"/>
      <c r="U223" s="1068"/>
      <c r="V223" s="1068"/>
      <c r="W223" s="486"/>
      <c r="X223" s="486"/>
      <c r="Y223" s="486"/>
      <c r="Z223" s="486"/>
      <c r="AA223" s="486"/>
      <c r="AB223" s="486"/>
      <c r="AC223" s="486"/>
      <c r="AD223" s="486"/>
      <c r="AE223" s="486"/>
      <c r="AF223" s="486"/>
      <c r="AG223" s="486"/>
      <c r="AH223" s="486"/>
      <c r="AI223" s="486"/>
      <c r="AJ223" s="486"/>
      <c r="AK223" s="486"/>
      <c r="AL223" s="486"/>
      <c r="AM223" s="486"/>
      <c r="AN223" s="486"/>
      <c r="AO223" s="486"/>
      <c r="AP223" s="486"/>
      <c r="AQ223" s="486"/>
      <c r="AR223" s="486"/>
      <c r="AS223" s="486"/>
      <c r="AT223" s="486"/>
      <c r="AU223" s="486"/>
      <c r="AV223" s="486"/>
      <c r="AW223" s="486"/>
      <c r="AX223" s="486"/>
      <c r="AY223" s="486"/>
      <c r="AZ223" s="486"/>
      <c r="BA223" s="486"/>
      <c r="BB223" s="486"/>
      <c r="BC223" s="486"/>
      <c r="BD223" s="486"/>
      <c r="BE223" s="485"/>
      <c r="BF223" s="486"/>
    </row>
    <row r="224" spans="1:58" s="440" customFormat="1" ht="16.5" customHeight="1" x14ac:dyDescent="0.5">
      <c r="A224" s="487"/>
      <c r="B224" s="475">
        <f t="shared" si="49"/>
        <v>5</v>
      </c>
      <c r="C224" s="499" t="str">
        <f t="shared" si="44"/>
        <v>Financial Prefeasibility</v>
      </c>
      <c r="D224" s="494">
        <f>Admin!M14</f>
        <v>0</v>
      </c>
      <c r="E224" s="494"/>
      <c r="F224" s="494"/>
      <c r="G224" s="494"/>
      <c r="H224" s="494"/>
      <c r="I224" s="496">
        <v>30</v>
      </c>
      <c r="J224" s="461">
        <f>Admin!G14</f>
        <v>5</v>
      </c>
      <c r="K224" s="461">
        <f>IF($M$219*1=1,I224,IF(J224&lt;5,5,MIN(J224,L223,P224)))</f>
        <v>30</v>
      </c>
      <c r="L224" s="461">
        <f t="shared" si="45"/>
        <v>20</v>
      </c>
      <c r="M224" s="461">
        <f t="shared" si="46"/>
        <v>1</v>
      </c>
      <c r="N224" s="497">
        <f t="shared" si="47"/>
        <v>30</v>
      </c>
      <c r="O224" s="461">
        <f t="shared" si="48"/>
        <v>5</v>
      </c>
      <c r="P224" s="461">
        <f>L223-SUM(O225:$O$226)</f>
        <v>45</v>
      </c>
      <c r="Q224" s="461"/>
      <c r="R224" s="461"/>
      <c r="S224" s="486"/>
      <c r="T224" s="486"/>
      <c r="U224" s="1068"/>
      <c r="V224" s="1068"/>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6"/>
      <c r="AY224" s="486"/>
      <c r="AZ224" s="486"/>
      <c r="BA224" s="486"/>
      <c r="BB224" s="486"/>
      <c r="BC224" s="486"/>
      <c r="BD224" s="486"/>
      <c r="BE224" s="485"/>
      <c r="BF224" s="486"/>
    </row>
    <row r="225" spans="1:58" s="440" customFormat="1" ht="16.5" customHeight="1" x14ac:dyDescent="0.5">
      <c r="A225" s="487"/>
      <c r="B225" s="475">
        <f t="shared" si="49"/>
        <v>6</v>
      </c>
      <c r="C225" s="499" t="str">
        <f t="shared" si="44"/>
        <v>Legal Prefeasibility</v>
      </c>
      <c r="D225" s="494">
        <f>Admin!M15</f>
        <v>0</v>
      </c>
      <c r="E225" s="494"/>
      <c r="F225" s="494"/>
      <c r="G225" s="494"/>
      <c r="H225" s="494"/>
      <c r="I225" s="496">
        <v>20</v>
      </c>
      <c r="J225" s="461">
        <f>Admin!G15</f>
        <v>80</v>
      </c>
      <c r="K225" s="461">
        <f>IF($M$219*1=1,I225,IF(J225&lt;5,5,IF(MIN(J225,L224,P225)+SUM(K220:K224)&lt;L219,L219-SUM(K220:K224),MIN(J225,L224,P225))))</f>
        <v>20</v>
      </c>
      <c r="L225" s="461">
        <f t="shared" si="45"/>
        <v>0</v>
      </c>
      <c r="M225" s="461">
        <f t="shared" si="46"/>
        <v>1</v>
      </c>
      <c r="N225" s="497">
        <f t="shared" si="47"/>
        <v>20</v>
      </c>
      <c r="O225" s="461">
        <f t="shared" si="48"/>
        <v>5</v>
      </c>
      <c r="P225" s="461">
        <f>L224-SUM(O226:$O$226)</f>
        <v>20</v>
      </c>
      <c r="Q225" s="461"/>
      <c r="R225" s="461"/>
      <c r="S225" s="486"/>
      <c r="T225" s="486"/>
      <c r="U225" s="1068"/>
      <c r="V225" s="1068"/>
      <c r="W225" s="486"/>
      <c r="X225" s="486"/>
      <c r="Y225" s="486"/>
      <c r="Z225" s="486"/>
      <c r="AA225" s="486"/>
      <c r="AB225" s="486"/>
      <c r="AC225" s="486"/>
      <c r="AD225" s="486"/>
      <c r="AE225" s="486"/>
      <c r="AF225" s="486"/>
      <c r="AG225" s="486"/>
      <c r="AH225" s="486"/>
      <c r="AI225" s="486"/>
      <c r="AJ225" s="486"/>
      <c r="AK225" s="486"/>
      <c r="AL225" s="486"/>
      <c r="AM225" s="486"/>
      <c r="AN225" s="486"/>
      <c r="AO225" s="486"/>
      <c r="AP225" s="486"/>
      <c r="AQ225" s="486"/>
      <c r="AR225" s="486"/>
      <c r="AS225" s="486"/>
      <c r="AT225" s="486"/>
      <c r="AU225" s="486"/>
      <c r="AV225" s="486"/>
      <c r="AW225" s="486"/>
      <c r="AX225" s="486"/>
      <c r="AY225" s="486"/>
      <c r="AZ225" s="486"/>
      <c r="BA225" s="486"/>
      <c r="BB225" s="486"/>
      <c r="BC225" s="486"/>
      <c r="BD225" s="486"/>
      <c r="BE225" s="485"/>
      <c r="BF225" s="486"/>
    </row>
    <row r="226" spans="1:58" s="440" customFormat="1" ht="16.5" customHeight="1" x14ac:dyDescent="0.5">
      <c r="A226" s="487"/>
      <c r="B226" s="479" t="s">
        <v>176</v>
      </c>
      <c r="C226" s="500" t="s">
        <v>103</v>
      </c>
      <c r="D226" s="494"/>
      <c r="E226" s="494">
        <v>20</v>
      </c>
      <c r="F226" s="494">
        <v>0</v>
      </c>
      <c r="G226" s="494">
        <f>IF($E$213*1=1,E226,MIN(F226,MAX(0,H219)))</f>
        <v>20</v>
      </c>
      <c r="H226" s="494">
        <f>H219-G226</f>
        <v>40</v>
      </c>
      <c r="I226" s="494"/>
      <c r="J226" s="461"/>
      <c r="K226" s="461"/>
      <c r="L226" s="461">
        <v>100</v>
      </c>
      <c r="M226" s="461" t="b">
        <v>1</v>
      </c>
      <c r="N226" s="461"/>
      <c r="O226" s="461"/>
      <c r="P226" s="461"/>
      <c r="Q226" s="461"/>
      <c r="R226" s="461"/>
      <c r="S226" s="486"/>
      <c r="T226" s="486"/>
      <c r="U226" s="1067"/>
      <c r="V226" s="1067"/>
      <c r="W226" s="486"/>
      <c r="X226" s="486"/>
      <c r="Y226" s="486"/>
      <c r="Z226" s="486"/>
      <c r="AA226" s="486"/>
      <c r="AB226" s="486"/>
      <c r="AC226" s="486"/>
      <c r="AD226" s="486"/>
      <c r="AE226" s="486"/>
      <c r="AF226" s="486"/>
      <c r="AG226" s="486"/>
      <c r="AH226" s="486"/>
      <c r="AI226" s="486"/>
      <c r="AJ226" s="486"/>
      <c r="AK226" s="486"/>
      <c r="AL226" s="486"/>
      <c r="AM226" s="486"/>
      <c r="AN226" s="486"/>
      <c r="AO226" s="486"/>
      <c r="AP226" s="486"/>
      <c r="AQ226" s="486"/>
      <c r="AR226" s="486"/>
      <c r="AS226" s="486"/>
      <c r="AT226" s="486"/>
      <c r="AU226" s="486"/>
      <c r="AV226" s="486"/>
      <c r="AW226" s="486"/>
      <c r="AX226" s="486"/>
      <c r="AY226" s="486"/>
      <c r="AZ226" s="486"/>
      <c r="BA226" s="486"/>
      <c r="BB226" s="486"/>
      <c r="BC226" s="486"/>
      <c r="BD226" s="486"/>
      <c r="BE226" s="485"/>
      <c r="BF226" s="486"/>
    </row>
    <row r="227" spans="1:58" s="440" customFormat="1" ht="16.5" customHeight="1" x14ac:dyDescent="0.5">
      <c r="A227" s="487"/>
      <c r="B227" s="479">
        <v>1</v>
      </c>
      <c r="C227" s="501" t="str">
        <f t="shared" ref="C227:C234" si="50">W356</f>
        <v>Risk of delay in land acquisition</v>
      </c>
      <c r="D227" s="494">
        <f>Admin!M17</f>
        <v>0</v>
      </c>
      <c r="E227" s="494"/>
      <c r="F227" s="494"/>
      <c r="G227" s="494"/>
      <c r="H227" s="494"/>
      <c r="I227" s="494">
        <f>IF($AP$355=0,0,100/$AP$365)</f>
        <v>12.5</v>
      </c>
      <c r="J227" s="461">
        <f>Admin!G17</f>
        <v>5</v>
      </c>
      <c r="K227" s="461">
        <f>IF(C357=0,0,IF(M226*1=1,I227,IF(J227&lt;0,5,MIN(J227,L226,P227))))</f>
        <v>12.5</v>
      </c>
      <c r="L227" s="461">
        <f t="shared" si="45"/>
        <v>87.5</v>
      </c>
      <c r="M227" s="461">
        <f t="shared" ref="M227:M234" si="51">$M$226*1</f>
        <v>1</v>
      </c>
      <c r="N227" s="497">
        <f t="shared" ref="N227:N234" si="52">I227</f>
        <v>12.5</v>
      </c>
      <c r="O227" s="461">
        <f t="shared" ref="O227:O234" si="53">COUNT(B227)*$Q$213</f>
        <v>5</v>
      </c>
      <c r="P227" s="461">
        <f>L226-SUM(O228:$O$235)</f>
        <v>65</v>
      </c>
      <c r="Q227" s="461"/>
      <c r="R227" s="461"/>
      <c r="S227" s="486"/>
      <c r="T227" s="486"/>
      <c r="U227" s="1068"/>
      <c r="V227" s="1068"/>
      <c r="W227" s="486"/>
      <c r="X227" s="486"/>
      <c r="Y227" s="486"/>
      <c r="Z227" s="486"/>
      <c r="AA227" s="486"/>
      <c r="AB227" s="486"/>
      <c r="AC227" s="486"/>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486"/>
      <c r="AY227" s="486"/>
      <c r="AZ227" s="486"/>
      <c r="BA227" s="486"/>
      <c r="BB227" s="486"/>
      <c r="BC227" s="486"/>
      <c r="BD227" s="486"/>
      <c r="BE227" s="485"/>
      <c r="BF227" s="486"/>
    </row>
    <row r="228" spans="1:58" s="440" customFormat="1" ht="16.5" customHeight="1" x14ac:dyDescent="0.5">
      <c r="A228" s="487"/>
      <c r="B228" s="479">
        <f>B227+1</f>
        <v>2</v>
      </c>
      <c r="C228" s="501" t="str">
        <f t="shared" si="50"/>
        <v>Financing Risk</v>
      </c>
      <c r="D228" s="494">
        <f>Admin!M18</f>
        <v>0</v>
      </c>
      <c r="E228" s="494"/>
      <c r="F228" s="494"/>
      <c r="G228" s="494"/>
      <c r="H228" s="494"/>
      <c r="I228" s="494">
        <f>IF($AP$356=0,0,100/$AP$365)</f>
        <v>12.5</v>
      </c>
      <c r="J228" s="461">
        <f>Admin!G18</f>
        <v>5</v>
      </c>
      <c r="K228" s="461">
        <f>IF(C366=0,0,IF(M226*1=1,I228,IF(J228&lt;0,5,MIN(J228,L227,P228))))</f>
        <v>12.5</v>
      </c>
      <c r="L228" s="461">
        <f t="shared" si="45"/>
        <v>75</v>
      </c>
      <c r="M228" s="461">
        <f t="shared" si="51"/>
        <v>1</v>
      </c>
      <c r="N228" s="497">
        <f t="shared" si="52"/>
        <v>12.5</v>
      </c>
      <c r="O228" s="461">
        <f t="shared" si="53"/>
        <v>5</v>
      </c>
      <c r="P228" s="461">
        <f>L227-SUM(O229:$O$235)</f>
        <v>57.5</v>
      </c>
      <c r="Q228" s="461"/>
      <c r="R228" s="461"/>
      <c r="S228" s="486"/>
      <c r="T228" s="486"/>
      <c r="U228" s="1068"/>
      <c r="V228" s="1068"/>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6"/>
      <c r="AY228" s="486"/>
      <c r="AZ228" s="486"/>
      <c r="BA228" s="486"/>
      <c r="BB228" s="486"/>
      <c r="BC228" s="486"/>
      <c r="BD228" s="486"/>
      <c r="BE228" s="485"/>
      <c r="BF228" s="486"/>
    </row>
    <row r="229" spans="1:58" s="440" customFormat="1" ht="25.8" x14ac:dyDescent="0.5">
      <c r="A229" s="487"/>
      <c r="B229" s="479">
        <f>B228+1</f>
        <v>3</v>
      </c>
      <c r="C229" s="501" t="str">
        <f t="shared" si="50"/>
        <v xml:space="preserve">Design and Construction Risk </v>
      </c>
      <c r="D229" s="494">
        <f>Admin!M19</f>
        <v>0</v>
      </c>
      <c r="E229" s="494"/>
      <c r="F229" s="494"/>
      <c r="G229" s="494"/>
      <c r="H229" s="494"/>
      <c r="I229" s="494">
        <f>IF($AP$357=0,0,100/$AP$365)</f>
        <v>12.5</v>
      </c>
      <c r="J229" s="461">
        <f>Admin!G19</f>
        <v>5</v>
      </c>
      <c r="K229" s="461">
        <f>IF(C372=0,0,IF(M226*1=1,I229,IF(J229&lt;0,5,MIN(J229,L228,P229))))</f>
        <v>12.5</v>
      </c>
      <c r="L229" s="461">
        <f t="shared" si="45"/>
        <v>62.5</v>
      </c>
      <c r="M229" s="461">
        <f t="shared" si="51"/>
        <v>1</v>
      </c>
      <c r="N229" s="497">
        <f t="shared" si="52"/>
        <v>12.5</v>
      </c>
      <c r="O229" s="461">
        <f t="shared" si="53"/>
        <v>5</v>
      </c>
      <c r="P229" s="461">
        <f>L228-SUM(O230:$O$235)</f>
        <v>50</v>
      </c>
      <c r="Q229" s="461">
        <f>L228-O230-O231-O233-O232</f>
        <v>55</v>
      </c>
      <c r="R229" s="461"/>
      <c r="S229" s="486"/>
      <c r="T229" s="486"/>
      <c r="U229" s="1068"/>
      <c r="V229" s="1068"/>
      <c r="W229" s="486"/>
      <c r="X229" s="486"/>
      <c r="Y229" s="486"/>
      <c r="Z229" s="486"/>
      <c r="AA229" s="486"/>
      <c r="AB229" s="486"/>
      <c r="AC229" s="486"/>
      <c r="AD229" s="486"/>
      <c r="AE229" s="486"/>
      <c r="AF229" s="486"/>
      <c r="AG229" s="486"/>
      <c r="AH229" s="486"/>
      <c r="AI229" s="486"/>
      <c r="AJ229" s="486"/>
      <c r="AK229" s="486"/>
      <c r="AL229" s="486"/>
      <c r="AM229" s="486"/>
      <c r="AN229" s="486"/>
      <c r="AO229" s="486"/>
      <c r="AP229" s="486"/>
      <c r="AQ229" s="486"/>
      <c r="AR229" s="486"/>
      <c r="AS229" s="486"/>
      <c r="AT229" s="486"/>
      <c r="AU229" s="486"/>
      <c r="AV229" s="486"/>
      <c r="AW229" s="486"/>
      <c r="AX229" s="486"/>
      <c r="AY229" s="486"/>
      <c r="AZ229" s="486"/>
      <c r="BA229" s="486"/>
      <c r="BB229" s="486"/>
      <c r="BC229" s="486"/>
      <c r="BD229" s="486"/>
      <c r="BE229" s="485"/>
      <c r="BF229" s="486"/>
    </row>
    <row r="230" spans="1:58" s="440" customFormat="1" ht="16.5" customHeight="1" x14ac:dyDescent="0.5">
      <c r="A230" s="487"/>
      <c r="B230" s="479">
        <f>B229+1</f>
        <v>4</v>
      </c>
      <c r="C230" s="501" t="str">
        <f t="shared" si="50"/>
        <v>Operations and Maintenance Risk</v>
      </c>
      <c r="D230" s="494">
        <f>Admin!M20</f>
        <v>0</v>
      </c>
      <c r="E230" s="494"/>
      <c r="F230" s="494"/>
      <c r="G230" s="494"/>
      <c r="H230" s="494"/>
      <c r="I230" s="494">
        <f>IF($AP$358=0,0,100/$AP$365)</f>
        <v>12.5</v>
      </c>
      <c r="J230" s="461">
        <f>Admin!G20</f>
        <v>5</v>
      </c>
      <c r="K230" s="461">
        <f>IF('Data Analysis'!C380=0,0,IF(M226*1=1,I230,IF(J230&lt;0,5,MIN(J230,L229,P230))))</f>
        <v>12.5</v>
      </c>
      <c r="L230" s="461">
        <f t="shared" si="45"/>
        <v>50</v>
      </c>
      <c r="M230" s="461">
        <f t="shared" si="51"/>
        <v>1</v>
      </c>
      <c r="N230" s="497">
        <f t="shared" si="52"/>
        <v>12.5</v>
      </c>
      <c r="O230" s="461">
        <f t="shared" si="53"/>
        <v>5</v>
      </c>
      <c r="P230" s="461">
        <f>L229-SUM(O231:$O$235)</f>
        <v>42.5</v>
      </c>
      <c r="Q230" s="461"/>
      <c r="R230" s="461"/>
      <c r="S230" s="486"/>
      <c r="T230" s="486"/>
      <c r="U230" s="1068"/>
      <c r="V230" s="1068"/>
      <c r="W230" s="486"/>
      <c r="X230" s="486"/>
      <c r="Y230" s="486"/>
      <c r="Z230" s="486"/>
      <c r="AA230" s="486"/>
      <c r="AB230" s="486"/>
      <c r="AC230" s="486"/>
      <c r="AD230" s="486"/>
      <c r="AE230" s="486"/>
      <c r="AF230" s="486"/>
      <c r="AG230" s="486"/>
      <c r="AH230" s="486"/>
      <c r="AI230" s="486"/>
      <c r="AJ230" s="486"/>
      <c r="AK230" s="486"/>
      <c r="AL230" s="486"/>
      <c r="AM230" s="486"/>
      <c r="AN230" s="486"/>
      <c r="AO230" s="486"/>
      <c r="AP230" s="486"/>
      <c r="AQ230" s="486"/>
      <c r="AR230" s="486"/>
      <c r="AS230" s="486"/>
      <c r="AT230" s="486"/>
      <c r="AU230" s="486"/>
      <c r="AV230" s="486"/>
      <c r="AW230" s="486"/>
      <c r="AX230" s="486"/>
      <c r="AY230" s="486"/>
      <c r="AZ230" s="486"/>
      <c r="BA230" s="486"/>
      <c r="BB230" s="486"/>
      <c r="BC230" s="486"/>
      <c r="BD230" s="486"/>
      <c r="BE230" s="485"/>
      <c r="BF230" s="486"/>
    </row>
    <row r="231" spans="1:58" s="440" customFormat="1" ht="16.5" customHeight="1" x14ac:dyDescent="0.5">
      <c r="A231" s="487"/>
      <c r="B231" s="479">
        <f t="shared" ref="B231:B234" si="54">B230+1</f>
        <v>5</v>
      </c>
      <c r="C231" s="501" t="str">
        <f t="shared" si="50"/>
        <v>Market Risk and Demand Risk</v>
      </c>
      <c r="D231" s="494">
        <f>Admin!M21</f>
        <v>0</v>
      </c>
      <c r="E231" s="494"/>
      <c r="F231" s="494"/>
      <c r="G231" s="494"/>
      <c r="H231" s="494"/>
      <c r="I231" s="494">
        <f>IF($AP$359=0,0,100/$AP$365)</f>
        <v>12.5</v>
      </c>
      <c r="J231" s="461">
        <f>Admin!G21</f>
        <v>5</v>
      </c>
      <c r="K231" s="461">
        <f>IF('Data Analysis'!C385=0,0,IF(M226*1=1,I231,IF(J231&lt;0,5,MIN(J231,L230,P231))))</f>
        <v>12.5</v>
      </c>
      <c r="L231" s="461">
        <f t="shared" si="45"/>
        <v>37.5</v>
      </c>
      <c r="M231" s="461">
        <f t="shared" si="51"/>
        <v>1</v>
      </c>
      <c r="N231" s="497">
        <f t="shared" si="52"/>
        <v>12.5</v>
      </c>
      <c r="O231" s="461">
        <f t="shared" si="53"/>
        <v>5</v>
      </c>
      <c r="P231" s="461">
        <f>L230-SUM(O232:$O$235)</f>
        <v>35</v>
      </c>
      <c r="Q231" s="461"/>
      <c r="R231" s="461"/>
      <c r="S231" s="486"/>
      <c r="T231" s="486"/>
      <c r="U231" s="1068"/>
      <c r="V231" s="1068"/>
      <c r="W231" s="486"/>
      <c r="X231" s="486"/>
      <c r="Y231" s="486"/>
      <c r="Z231" s="486"/>
      <c r="AA231" s="486"/>
      <c r="AB231" s="486"/>
      <c r="AC231" s="486"/>
      <c r="AD231" s="486"/>
      <c r="AE231" s="486"/>
      <c r="AF231" s="486"/>
      <c r="AG231" s="486"/>
      <c r="AH231" s="486"/>
      <c r="AI231" s="486"/>
      <c r="AJ231" s="486"/>
      <c r="AK231" s="486"/>
      <c r="AL231" s="486"/>
      <c r="AM231" s="486"/>
      <c r="AN231" s="486"/>
      <c r="AO231" s="486"/>
      <c r="AP231" s="486"/>
      <c r="AQ231" s="486"/>
      <c r="AR231" s="486"/>
      <c r="AS231" s="486"/>
      <c r="AT231" s="486"/>
      <c r="AU231" s="486"/>
      <c r="AV231" s="486"/>
      <c r="AW231" s="486"/>
      <c r="AX231" s="486"/>
      <c r="AY231" s="486"/>
      <c r="AZ231" s="486"/>
      <c r="BA231" s="486"/>
      <c r="BB231" s="486"/>
      <c r="BC231" s="486"/>
      <c r="BD231" s="486"/>
      <c r="BE231" s="485"/>
      <c r="BF231" s="486"/>
    </row>
    <row r="232" spans="1:58" s="440" customFormat="1" ht="16.5" customHeight="1" x14ac:dyDescent="0.5">
      <c r="A232" s="487"/>
      <c r="B232" s="479">
        <f t="shared" si="54"/>
        <v>6</v>
      </c>
      <c r="C232" s="501" t="str">
        <f t="shared" si="50"/>
        <v>Off Taker Risk</v>
      </c>
      <c r="D232" s="494">
        <f>Admin!M22</f>
        <v>0</v>
      </c>
      <c r="E232" s="494"/>
      <c r="F232" s="494"/>
      <c r="G232" s="494"/>
      <c r="H232" s="494"/>
      <c r="I232" s="494">
        <f>IF($AP$360=0,0,100/$AP$365)</f>
        <v>12.5</v>
      </c>
      <c r="J232" s="461">
        <f>Admin!G22</f>
        <v>30</v>
      </c>
      <c r="K232" s="461">
        <f>IF(C393=0,0,IF(M226*1=1,I232,IF(J232&lt;0,5,MIN(J232,L231,P232))))</f>
        <v>12.5</v>
      </c>
      <c r="L232" s="461">
        <f t="shared" si="45"/>
        <v>25</v>
      </c>
      <c r="M232" s="461">
        <f t="shared" si="51"/>
        <v>1</v>
      </c>
      <c r="N232" s="497">
        <f t="shared" si="52"/>
        <v>12.5</v>
      </c>
      <c r="O232" s="461">
        <f t="shared" si="53"/>
        <v>5</v>
      </c>
      <c r="P232" s="461">
        <f>L231-SUM(O233:$O$235)</f>
        <v>27.5</v>
      </c>
      <c r="Q232" s="461"/>
      <c r="R232" s="461"/>
      <c r="S232" s="486"/>
      <c r="T232" s="486"/>
      <c r="U232" s="1068"/>
      <c r="V232" s="1068"/>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6"/>
      <c r="AY232" s="486"/>
      <c r="AZ232" s="486"/>
      <c r="BA232" s="486"/>
      <c r="BB232" s="486"/>
      <c r="BC232" s="486"/>
      <c r="BD232" s="486"/>
      <c r="BE232" s="485"/>
      <c r="BF232" s="486"/>
    </row>
    <row r="233" spans="1:58" s="440" customFormat="1" ht="16.5" customHeight="1" x14ac:dyDescent="0.5">
      <c r="A233" s="487"/>
      <c r="B233" s="479">
        <f t="shared" si="54"/>
        <v>7</v>
      </c>
      <c r="C233" s="501" t="str">
        <f t="shared" si="50"/>
        <v>Foreign Exchange Risk</v>
      </c>
      <c r="D233" s="494">
        <f>Admin!M23</f>
        <v>0</v>
      </c>
      <c r="E233" s="494"/>
      <c r="F233" s="494"/>
      <c r="G233" s="494"/>
      <c r="H233" s="494"/>
      <c r="I233" s="494">
        <f>IF($AP$362=0,0,100/$AP$365)</f>
        <v>12.5</v>
      </c>
      <c r="J233" s="461">
        <f>Admin!G23</f>
        <v>10</v>
      </c>
      <c r="K233" s="461">
        <f>IF(C399=0,0,IF(M226*1=1,I233,IF(J233&lt;0,5,MIN(J233,L232,P233))))</f>
        <v>12.5</v>
      </c>
      <c r="L233" s="461">
        <f t="shared" si="45"/>
        <v>12.5</v>
      </c>
      <c r="M233" s="461">
        <f t="shared" si="51"/>
        <v>1</v>
      </c>
      <c r="N233" s="497">
        <f t="shared" si="52"/>
        <v>12.5</v>
      </c>
      <c r="O233" s="461">
        <f t="shared" si="53"/>
        <v>5</v>
      </c>
      <c r="P233" s="461">
        <f>L232-SUM(O234:$O$235)</f>
        <v>20</v>
      </c>
      <c r="Q233" s="461"/>
      <c r="R233" s="461"/>
      <c r="S233" s="486"/>
      <c r="T233" s="486"/>
      <c r="U233" s="1068"/>
      <c r="V233" s="1068"/>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6"/>
      <c r="AY233" s="486"/>
      <c r="AZ233" s="486"/>
      <c r="BA233" s="486"/>
      <c r="BB233" s="486"/>
      <c r="BC233" s="486"/>
      <c r="BD233" s="486"/>
      <c r="BE233" s="485"/>
      <c r="BF233" s="486"/>
    </row>
    <row r="234" spans="1:58" s="440" customFormat="1" ht="16.5" customHeight="1" x14ac:dyDescent="0.5">
      <c r="A234" s="487"/>
      <c r="B234" s="479">
        <f t="shared" si="54"/>
        <v>8</v>
      </c>
      <c r="C234" s="501" t="str">
        <f t="shared" si="50"/>
        <v>Environmental and Social Risk</v>
      </c>
      <c r="D234" s="494">
        <f>Admin!M24</f>
        <v>0</v>
      </c>
      <c r="E234" s="494"/>
      <c r="F234" s="494"/>
      <c r="G234" s="494"/>
      <c r="H234" s="494"/>
      <c r="I234" s="494">
        <f>IF($AP$362=0,0,100/$AP$365)</f>
        <v>12.5</v>
      </c>
      <c r="J234" s="461">
        <f>Admin!G24</f>
        <v>20</v>
      </c>
      <c r="K234" s="2073">
        <f>IF(C406=0,0,IF(M226*1=1,I234,IF(J234&lt;5,5,IF(MIN(J234,L233,P234)+SUM(K227:K233)&lt;L226,L226-SUM(K227:K233),MIN(J234,L233,P234)))))</f>
        <v>12.5</v>
      </c>
      <c r="L234" s="461">
        <f t="shared" si="45"/>
        <v>0</v>
      </c>
      <c r="M234" s="461">
        <f t="shared" si="51"/>
        <v>1</v>
      </c>
      <c r="N234" s="497">
        <f t="shared" si="52"/>
        <v>12.5</v>
      </c>
      <c r="O234" s="461">
        <f t="shared" si="53"/>
        <v>5</v>
      </c>
      <c r="P234" s="461">
        <f>L233-SUM(O235:$O$235)</f>
        <v>12.5</v>
      </c>
      <c r="Q234" s="461"/>
      <c r="R234" s="461"/>
      <c r="S234" s="486"/>
      <c r="T234" s="486"/>
      <c r="U234" s="1068"/>
      <c r="V234" s="1068"/>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6"/>
      <c r="AY234" s="486"/>
      <c r="AZ234" s="486"/>
      <c r="BA234" s="486"/>
      <c r="BB234" s="486"/>
      <c r="BC234" s="486"/>
      <c r="BD234" s="486"/>
      <c r="BE234" s="485"/>
      <c r="BF234" s="486"/>
    </row>
    <row r="235" spans="1:58" s="440" customFormat="1" ht="16.5" customHeight="1" x14ac:dyDescent="0.5">
      <c r="A235" s="487"/>
      <c r="B235" s="502" t="s">
        <v>208</v>
      </c>
      <c r="C235" s="503" t="s">
        <v>557</v>
      </c>
      <c r="D235" s="494"/>
      <c r="E235" s="494">
        <v>10</v>
      </c>
      <c r="F235" s="494">
        <v>0</v>
      </c>
      <c r="G235" s="494">
        <f>IF($E$213*1=1,E235,MIN(F235,MAX(0,H226)))</f>
        <v>10</v>
      </c>
      <c r="H235" s="494">
        <f>H226-G235</f>
        <v>30</v>
      </c>
      <c r="I235" s="494"/>
      <c r="J235" s="461"/>
      <c r="K235" s="730"/>
      <c r="L235" s="461">
        <v>100</v>
      </c>
      <c r="M235" s="461" t="b">
        <v>1</v>
      </c>
      <c r="N235" s="461"/>
      <c r="O235" s="461"/>
      <c r="P235" s="461"/>
      <c r="Q235" s="461"/>
      <c r="R235" s="461"/>
      <c r="S235" s="486"/>
      <c r="T235" s="486"/>
      <c r="U235" s="1067"/>
      <c r="V235" s="1067"/>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6"/>
      <c r="AY235" s="486"/>
      <c r="AZ235" s="486"/>
      <c r="BA235" s="486"/>
      <c r="BB235" s="486"/>
      <c r="BC235" s="486"/>
      <c r="BD235" s="486"/>
      <c r="BE235" s="485"/>
      <c r="BF235" s="486"/>
    </row>
    <row r="236" spans="1:58" s="440" customFormat="1" ht="16.5" customHeight="1" x14ac:dyDescent="0.5">
      <c r="A236" s="487"/>
      <c r="B236" s="502">
        <v>1</v>
      </c>
      <c r="C236" s="708" t="str">
        <f>W419</f>
        <v>Value for Money</v>
      </c>
      <c r="D236" s="494">
        <f>Admin!M26</f>
        <v>0</v>
      </c>
      <c r="E236" s="494"/>
      <c r="F236" s="494"/>
      <c r="G236" s="494"/>
      <c r="H236" s="494"/>
      <c r="I236" s="496">
        <v>60</v>
      </c>
      <c r="J236" s="461">
        <f>Admin!G26</f>
        <v>5</v>
      </c>
      <c r="K236" s="461">
        <f>IF(M235*1=1,I236,IF(J236&lt;0,5,MIN(J236,L235,P236)))</f>
        <v>60</v>
      </c>
      <c r="L236" s="461">
        <f>L226-K236</f>
        <v>40</v>
      </c>
      <c r="M236" s="461">
        <f>$M$235*1</f>
        <v>1</v>
      </c>
      <c r="N236" s="497">
        <f>I236</f>
        <v>60</v>
      </c>
      <c r="O236" s="461">
        <f>COUNT(B236)*$Q$213</f>
        <v>5</v>
      </c>
      <c r="P236" s="1134">
        <f>L235-SUM(O237:$O$238)</f>
        <v>95</v>
      </c>
      <c r="Q236" s="461"/>
      <c r="R236" s="461"/>
      <c r="S236" s="486"/>
      <c r="T236" s="486"/>
      <c r="U236" s="1068"/>
      <c r="V236" s="1068"/>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6"/>
      <c r="AY236" s="486"/>
      <c r="AZ236" s="486"/>
      <c r="BA236" s="486"/>
      <c r="BB236" s="486"/>
      <c r="BC236" s="486"/>
      <c r="BD236" s="486"/>
      <c r="BE236" s="485"/>
      <c r="BF236" s="486"/>
    </row>
    <row r="237" spans="1:58" s="440" customFormat="1" ht="16.5" customHeight="1" x14ac:dyDescent="0.5">
      <c r="A237" s="487"/>
      <c r="B237" s="502">
        <f>B236+1</f>
        <v>2</v>
      </c>
      <c r="C237" s="708" t="str">
        <f>W420</f>
        <v>Market appetite</v>
      </c>
      <c r="D237" s="494">
        <f>Admin!M27</f>
        <v>0</v>
      </c>
      <c r="E237" s="494"/>
      <c r="F237" s="494"/>
      <c r="G237" s="494"/>
      <c r="H237" s="494"/>
      <c r="I237" s="496">
        <v>40</v>
      </c>
      <c r="J237" s="461">
        <f>Admin!G27</f>
        <v>29</v>
      </c>
      <c r="K237" s="461">
        <f>IF($M$235*1=1,I237,IF(J237&lt;5,5,IF(MIN(J237,L236,P237)+SUM(K236)&lt;L235,L235-SUM(K236),MIN(J237,L236,P237))))</f>
        <v>40</v>
      </c>
      <c r="L237" s="461">
        <f>L236-K237</f>
        <v>0</v>
      </c>
      <c r="M237" s="461">
        <f>$M$235*1</f>
        <v>1</v>
      </c>
      <c r="N237" s="497">
        <f>I237</f>
        <v>40</v>
      </c>
      <c r="O237" s="461">
        <f>COUNT(B237)*$Q$213</f>
        <v>5</v>
      </c>
      <c r="P237" s="1134">
        <f>L236-SUM(O238:$O$238)</f>
        <v>40</v>
      </c>
      <c r="Q237" s="461"/>
      <c r="R237" s="461"/>
      <c r="S237" s="486"/>
      <c r="T237" s="486"/>
      <c r="U237" s="1068"/>
      <c r="V237" s="1068"/>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6"/>
      <c r="AY237" s="486"/>
      <c r="AZ237" s="486"/>
      <c r="BA237" s="486"/>
      <c r="BB237" s="486"/>
      <c r="BC237" s="486"/>
      <c r="BD237" s="486"/>
      <c r="BE237" s="485"/>
      <c r="BF237" s="486"/>
    </row>
    <row r="238" spans="1:58" s="440" customFormat="1" ht="16.5" customHeight="1" x14ac:dyDescent="0.5">
      <c r="A238" s="487"/>
      <c r="B238" s="502"/>
      <c r="C238" s="504"/>
      <c r="D238" s="494"/>
      <c r="E238" s="494"/>
      <c r="F238" s="494"/>
      <c r="G238" s="494"/>
      <c r="H238" s="494"/>
      <c r="I238" s="496"/>
      <c r="J238" s="461"/>
      <c r="K238" s="461"/>
      <c r="L238" s="461"/>
      <c r="M238" s="461"/>
      <c r="N238" s="461"/>
      <c r="O238" s="461"/>
      <c r="P238" s="461"/>
      <c r="Q238" s="461"/>
      <c r="R238" s="461"/>
      <c r="S238" s="486"/>
      <c r="T238" s="486"/>
      <c r="U238" s="1068"/>
      <c r="V238" s="1068"/>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6"/>
      <c r="AY238" s="486"/>
      <c r="AZ238" s="486"/>
      <c r="BA238" s="486"/>
      <c r="BB238" s="486"/>
      <c r="BC238" s="486"/>
      <c r="BD238" s="486"/>
      <c r="BE238" s="485"/>
      <c r="BF238" s="486"/>
    </row>
    <row r="239" spans="1:58" s="440" customFormat="1" ht="16.5" customHeight="1" x14ac:dyDescent="0.5">
      <c r="A239" s="487"/>
      <c r="B239" s="480" t="s">
        <v>209</v>
      </c>
      <c r="C239" s="505" t="s">
        <v>30</v>
      </c>
      <c r="D239" s="494"/>
      <c r="E239" s="494">
        <v>20</v>
      </c>
      <c r="F239" s="494">
        <v>0</v>
      </c>
      <c r="G239" s="494">
        <f>IF($E$213*1=1,E239,MIN(F239,MAX(0,H235)))</f>
        <v>20</v>
      </c>
      <c r="H239" s="494">
        <f>H235-G239</f>
        <v>10</v>
      </c>
      <c r="I239" s="494"/>
      <c r="J239" s="461"/>
      <c r="K239" s="461"/>
      <c r="L239" s="461">
        <v>100</v>
      </c>
      <c r="M239" s="461" t="b">
        <v>1</v>
      </c>
      <c r="N239" s="461"/>
      <c r="O239" s="461"/>
      <c r="P239" s="461"/>
      <c r="Q239" s="461"/>
      <c r="R239" s="461"/>
      <c r="S239" s="486"/>
      <c r="T239" s="486"/>
      <c r="U239" s="1067"/>
      <c r="V239" s="1067"/>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6"/>
      <c r="AY239" s="486"/>
      <c r="AZ239" s="486"/>
      <c r="BA239" s="486"/>
      <c r="BB239" s="486"/>
      <c r="BC239" s="486"/>
      <c r="BD239" s="486"/>
      <c r="BE239" s="485"/>
      <c r="BF239" s="486"/>
    </row>
    <row r="240" spans="1:58" s="440" customFormat="1" ht="16.5" customHeight="1" x14ac:dyDescent="0.5">
      <c r="A240" s="487"/>
      <c r="B240" s="480">
        <v>1</v>
      </c>
      <c r="C240" s="506" t="str">
        <f>W443</f>
        <v>Extent and Nature of Government Fiscal Support</v>
      </c>
      <c r="D240" s="494">
        <f>Admin!M29</f>
        <v>0</v>
      </c>
      <c r="E240" s="494"/>
      <c r="F240" s="494"/>
      <c r="G240" s="494"/>
      <c r="H240" s="494"/>
      <c r="I240" s="496">
        <v>40</v>
      </c>
      <c r="J240" s="461">
        <f>Admin!G29</f>
        <v>5</v>
      </c>
      <c r="K240" s="461">
        <f>IF($M$239*1=1,I240,IF(J240&lt;5,5,MIN(J240,L239,P240)))</f>
        <v>40</v>
      </c>
      <c r="L240" s="461">
        <f>L239-K240</f>
        <v>60</v>
      </c>
      <c r="M240" s="461">
        <f>$M$239*1</f>
        <v>1</v>
      </c>
      <c r="N240" s="497">
        <f>I240</f>
        <v>40</v>
      </c>
      <c r="O240" s="461">
        <f>COUNT(B240)*$Q$213</f>
        <v>5</v>
      </c>
      <c r="P240" s="461">
        <f>L239-SUM(O241:$O$242)</f>
        <v>95</v>
      </c>
      <c r="Q240" s="461"/>
      <c r="R240" s="461"/>
      <c r="S240" s="486"/>
      <c r="T240" s="486"/>
      <c r="U240" s="1068"/>
      <c r="V240" s="1068"/>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6"/>
      <c r="AY240" s="486"/>
      <c r="AZ240" s="486"/>
      <c r="BA240" s="486"/>
      <c r="BB240" s="486"/>
      <c r="BC240" s="486"/>
      <c r="BD240" s="486"/>
      <c r="BE240" s="485"/>
      <c r="BF240" s="486"/>
    </row>
    <row r="241" spans="1:58" s="440" customFormat="1" ht="16.5" customHeight="1" x14ac:dyDescent="0.5">
      <c r="A241" s="487"/>
      <c r="B241" s="480">
        <f>B240+1</f>
        <v>2</v>
      </c>
      <c r="C241" s="506" t="str">
        <f>W444</f>
        <v>Quantification of Fiscal Support</v>
      </c>
      <c r="D241" s="494">
        <f>Admin!M30</f>
        <v>0</v>
      </c>
      <c r="E241" s="494"/>
      <c r="F241" s="494"/>
      <c r="G241" s="494"/>
      <c r="H241" s="494"/>
      <c r="I241" s="496">
        <v>60</v>
      </c>
      <c r="J241" s="461">
        <f>Admin!G30</f>
        <v>41</v>
      </c>
      <c r="K241" s="461">
        <f>IF($M$239*1=1,I241,IF(J241&lt;5,5,IF(MIN(J241,L240,P241)+SUM(K240)&lt;L239,L239-SUM(K240),MIN(J241,L240,P241))))</f>
        <v>60</v>
      </c>
      <c r="L241" s="461">
        <f>L240-K241</f>
        <v>0</v>
      </c>
      <c r="M241" s="461">
        <f>$M$239*1</f>
        <v>1</v>
      </c>
      <c r="N241" s="497">
        <f>I241</f>
        <v>60</v>
      </c>
      <c r="O241" s="461">
        <f>COUNT(B241)*$Q$213</f>
        <v>5</v>
      </c>
      <c r="P241" s="461">
        <f>L240-SUM(O242:$O$242)</f>
        <v>60</v>
      </c>
      <c r="Q241" s="461"/>
      <c r="R241" s="461"/>
      <c r="S241" s="486"/>
      <c r="T241" s="486"/>
      <c r="U241" s="1068"/>
      <c r="V241" s="1068"/>
      <c r="W241" s="486"/>
      <c r="X241" s="486"/>
      <c r="Y241" s="486"/>
      <c r="Z241" s="486"/>
      <c r="AA241" s="486"/>
      <c r="AB241" s="507"/>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6"/>
      <c r="AY241" s="486"/>
      <c r="AZ241" s="486"/>
      <c r="BA241" s="486"/>
      <c r="BB241" s="486"/>
      <c r="BC241" s="486"/>
      <c r="BD241" s="486"/>
      <c r="BE241" s="485"/>
      <c r="BF241" s="486"/>
    </row>
    <row r="242" spans="1:58" s="440" customFormat="1" ht="16.5" customHeight="1" x14ac:dyDescent="0.5">
      <c r="A242" s="487"/>
      <c r="B242" s="481" t="s">
        <v>249</v>
      </c>
      <c r="C242" s="508" t="s">
        <v>561</v>
      </c>
      <c r="D242" s="494"/>
      <c r="E242" s="494">
        <v>10</v>
      </c>
      <c r="F242" s="494">
        <v>100</v>
      </c>
      <c r="G242" s="494">
        <f>IF($E$213*1=1,E242,MIN(F242,MAX(0,H239)))</f>
        <v>10</v>
      </c>
      <c r="H242" s="494">
        <f>H239-G242</f>
        <v>0</v>
      </c>
      <c r="I242" s="494"/>
      <c r="J242" s="461"/>
      <c r="K242" s="461"/>
      <c r="L242" s="461">
        <v>100</v>
      </c>
      <c r="M242" s="461" t="b">
        <v>1</v>
      </c>
      <c r="N242" s="461"/>
      <c r="O242" s="461"/>
      <c r="P242" s="461"/>
      <c r="Q242" s="461"/>
      <c r="R242" s="461"/>
      <c r="S242" s="486"/>
      <c r="T242" s="486"/>
      <c r="U242" s="1067"/>
      <c r="V242" s="1067"/>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6"/>
      <c r="AY242" s="486"/>
      <c r="AZ242" s="486"/>
      <c r="BA242" s="486"/>
      <c r="BB242" s="486"/>
      <c r="BC242" s="486"/>
      <c r="BD242" s="486"/>
      <c r="BE242" s="485"/>
      <c r="BF242" s="486"/>
    </row>
    <row r="243" spans="1:58" s="440" customFormat="1" ht="16.5" customHeight="1" x14ac:dyDescent="0.5">
      <c r="A243" s="487"/>
      <c r="B243" s="481">
        <v>1</v>
      </c>
      <c r="C243" s="509" t="str">
        <f>W478</f>
        <v>Institutional Capacity</v>
      </c>
      <c r="D243" s="494">
        <f>Admin!M32</f>
        <v>0</v>
      </c>
      <c r="E243" s="494"/>
      <c r="F243" s="494"/>
      <c r="G243" s="494"/>
      <c r="H243" s="494"/>
      <c r="I243" s="496">
        <f>100/3</f>
        <v>33.333333333333336</v>
      </c>
      <c r="J243" s="461">
        <f>Admin!G32</f>
        <v>36</v>
      </c>
      <c r="K243" s="461">
        <f>IF($M$242*1=1,I243,IF(J243&lt;5,5,MIN(J243,L242,P243)))</f>
        <v>33.333333333333336</v>
      </c>
      <c r="L243" s="461">
        <f>L242-K243</f>
        <v>66.666666666666657</v>
      </c>
      <c r="M243" s="461">
        <f>$M$242*1</f>
        <v>1</v>
      </c>
      <c r="N243" s="497">
        <f>I243</f>
        <v>33.333333333333336</v>
      </c>
      <c r="O243" s="461">
        <f>COUNT(B243)*$Q$213</f>
        <v>5</v>
      </c>
      <c r="P243" s="461">
        <f>L242-SUM(O244:$O$246)</f>
        <v>90</v>
      </c>
      <c r="Q243" s="461"/>
      <c r="R243" s="461"/>
      <c r="S243" s="486"/>
      <c r="T243" s="486"/>
      <c r="U243" s="1068"/>
      <c r="V243" s="1068"/>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6"/>
      <c r="AY243" s="486"/>
      <c r="AZ243" s="486"/>
      <c r="BA243" s="486"/>
      <c r="BB243" s="486"/>
      <c r="BC243" s="486"/>
      <c r="BD243" s="486"/>
      <c r="BE243" s="485"/>
      <c r="BF243" s="486"/>
    </row>
    <row r="244" spans="1:58" s="440" customFormat="1" ht="16.5" customHeight="1" x14ac:dyDescent="0.5">
      <c r="A244" s="487"/>
      <c r="B244" s="481">
        <f>B243+1</f>
        <v>2</v>
      </c>
      <c r="C244" s="509" t="str">
        <f>W479</f>
        <v>Preparedness of the Contracting Agency for the Project</v>
      </c>
      <c r="D244" s="494">
        <f>Admin!M33</f>
        <v>0</v>
      </c>
      <c r="E244" s="494"/>
      <c r="F244" s="494"/>
      <c r="G244" s="494"/>
      <c r="H244" s="494"/>
      <c r="I244" s="496">
        <f>100/3</f>
        <v>33.333333333333336</v>
      </c>
      <c r="J244" s="461">
        <f>Admin!G33</f>
        <v>5</v>
      </c>
      <c r="K244" s="461">
        <f>IF($M$242*1=1,I244,IF(J244&lt;5,5,MIN(J244,L243,P244)))</f>
        <v>33.333333333333336</v>
      </c>
      <c r="L244" s="461">
        <f>L243-K244</f>
        <v>33.333333333333321</v>
      </c>
      <c r="M244" s="461">
        <f>$M$242*1</f>
        <v>1</v>
      </c>
      <c r="N244" s="497">
        <f>I244</f>
        <v>33.333333333333336</v>
      </c>
      <c r="O244" s="461">
        <f>COUNT(B244)*$Q$213</f>
        <v>5</v>
      </c>
      <c r="P244" s="461">
        <f>L243-SUM(O245:$O$246)</f>
        <v>61.666666666666657</v>
      </c>
      <c r="Q244" s="461"/>
      <c r="R244" s="461"/>
      <c r="S244" s="486"/>
      <c r="T244" s="486"/>
      <c r="U244" s="1068"/>
      <c r="V244" s="1068"/>
      <c r="W244" s="486"/>
      <c r="X244" s="486"/>
      <c r="Y244" s="486"/>
      <c r="Z244" s="486"/>
      <c r="AA244" s="486"/>
      <c r="AB244" s="486"/>
      <c r="AC244" s="486"/>
      <c r="AD244" s="486"/>
      <c r="AE244" s="486"/>
      <c r="AF244" s="486"/>
      <c r="AG244" s="486"/>
      <c r="AH244" s="486"/>
      <c r="AI244" s="486"/>
      <c r="AJ244" s="486"/>
      <c r="AK244" s="486"/>
      <c r="AL244" s="486"/>
      <c r="AM244" s="486"/>
      <c r="AN244" s="486"/>
      <c r="AO244" s="486"/>
      <c r="AP244" s="486"/>
      <c r="AQ244" s="486"/>
      <c r="AR244" s="486"/>
      <c r="AS244" s="486"/>
      <c r="AT244" s="486"/>
      <c r="AU244" s="486"/>
      <c r="AV244" s="486"/>
      <c r="AW244" s="486"/>
      <c r="AX244" s="486"/>
      <c r="AY244" s="486"/>
      <c r="AZ244" s="486"/>
      <c r="BA244" s="486"/>
      <c r="BB244" s="486"/>
      <c r="BC244" s="486"/>
      <c r="BD244" s="486"/>
      <c r="BE244" s="485"/>
      <c r="BF244" s="486"/>
    </row>
    <row r="245" spans="1:58" s="440" customFormat="1" ht="16.5" customHeight="1" x14ac:dyDescent="0.5">
      <c r="A245" s="487"/>
      <c r="B245" s="481">
        <f>B244+1</f>
        <v>3</v>
      </c>
      <c r="C245" s="509" t="str">
        <f>W480</f>
        <v>Project Execution Capability of the Contracting Agency</v>
      </c>
      <c r="D245" s="494">
        <f>Admin!M34</f>
        <v>0</v>
      </c>
      <c r="E245" s="494"/>
      <c r="F245" s="494"/>
      <c r="G245" s="494"/>
      <c r="H245" s="494"/>
      <c r="I245" s="496">
        <f>100/3</f>
        <v>33.333333333333336</v>
      </c>
      <c r="J245" s="461">
        <f>Admin!G34</f>
        <v>6</v>
      </c>
      <c r="K245" s="461">
        <f>IF($M$242*1=1,I245,IF(J245&lt;5,5,IF(MIN(J233,L244,P244)+SUM(K243:K244)&lt;L242,L242-SUM(K243:K244),MIN(J233,L244,P244))))</f>
        <v>33.333333333333336</v>
      </c>
      <c r="L245" s="461">
        <f>L244-K245</f>
        <v>0</v>
      </c>
      <c r="M245" s="461">
        <f>$M$242*1</f>
        <v>1</v>
      </c>
      <c r="N245" s="497">
        <f>I245</f>
        <v>33.333333333333336</v>
      </c>
      <c r="O245" s="461">
        <f>COUNT(B245)*$Q$213</f>
        <v>5</v>
      </c>
      <c r="P245" s="461">
        <f>L244-SUM(O246:$O$246)</f>
        <v>33.333333333333321</v>
      </c>
      <c r="Q245" s="461"/>
      <c r="R245" s="461"/>
      <c r="S245" s="486"/>
      <c r="T245" s="486"/>
      <c r="U245" s="1068"/>
      <c r="V245" s="1068"/>
      <c r="W245" s="486"/>
      <c r="X245" s="486"/>
      <c r="Y245" s="486"/>
      <c r="Z245" s="486"/>
      <c r="AA245" s="486"/>
      <c r="AB245" s="486"/>
      <c r="AC245" s="486"/>
      <c r="AD245" s="486"/>
      <c r="AE245" s="486"/>
      <c r="AF245" s="486"/>
      <c r="AG245" s="486"/>
      <c r="AH245" s="486"/>
      <c r="AI245" s="486"/>
      <c r="AJ245" s="486"/>
      <c r="AK245" s="486"/>
      <c r="AL245" s="486"/>
      <c r="AM245" s="486"/>
      <c r="AN245" s="486"/>
      <c r="AO245" s="486"/>
      <c r="AP245" s="486"/>
      <c r="AQ245" s="486"/>
      <c r="AR245" s="486"/>
      <c r="AS245" s="486"/>
      <c r="AT245" s="486"/>
      <c r="AU245" s="486"/>
      <c r="AV245" s="486"/>
      <c r="AW245" s="486"/>
      <c r="AX245" s="486"/>
      <c r="AY245" s="486"/>
      <c r="AZ245" s="486"/>
      <c r="BA245" s="486"/>
      <c r="BB245" s="486"/>
      <c r="BC245" s="486"/>
      <c r="BD245" s="486"/>
      <c r="BE245" s="485"/>
      <c r="BF245" s="486"/>
    </row>
    <row r="246" spans="1:58" s="440" customFormat="1" ht="16.5" customHeight="1" x14ac:dyDescent="0.5">
      <c r="A246" s="487"/>
      <c r="B246" s="486"/>
      <c r="C246" s="486"/>
      <c r="D246" s="486"/>
      <c r="E246" s="486"/>
      <c r="F246" s="488"/>
      <c r="G246" s="489"/>
      <c r="H246" s="486"/>
      <c r="I246" s="486"/>
      <c r="J246" s="486"/>
      <c r="K246" s="489"/>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c r="AN246" s="486"/>
      <c r="AO246" s="486"/>
      <c r="AP246" s="486"/>
      <c r="AQ246" s="486"/>
      <c r="AR246" s="486"/>
      <c r="AS246" s="486"/>
      <c r="AT246" s="486"/>
      <c r="AU246" s="486"/>
      <c r="AV246" s="486"/>
      <c r="AW246" s="486"/>
      <c r="AX246" s="486"/>
      <c r="AY246" s="486"/>
      <c r="AZ246" s="486"/>
      <c r="BA246" s="486"/>
      <c r="BB246" s="486"/>
      <c r="BC246" s="486"/>
      <c r="BD246" s="486"/>
      <c r="BE246" s="485"/>
      <c r="BF246" s="486"/>
    </row>
    <row r="247" spans="1:58" s="440" customFormat="1" ht="16.5" customHeight="1" x14ac:dyDescent="0.5">
      <c r="A247" s="487"/>
      <c r="B247" s="486"/>
      <c r="C247" s="486"/>
      <c r="D247" s="486"/>
      <c r="E247" s="486"/>
      <c r="F247" s="488"/>
      <c r="G247" s="489"/>
      <c r="H247" s="486"/>
      <c r="I247" s="486"/>
      <c r="J247" s="486"/>
      <c r="K247" s="489"/>
      <c r="L247" s="486"/>
      <c r="M247" s="486"/>
      <c r="N247" s="486"/>
      <c r="O247" s="454"/>
      <c r="P247" s="454" t="s">
        <v>377</v>
      </c>
      <c r="Q247" s="454"/>
      <c r="R247" s="454" t="s">
        <v>378</v>
      </c>
      <c r="S247" s="454"/>
      <c r="T247" s="486"/>
      <c r="U247" s="454" t="s">
        <v>499</v>
      </c>
      <c r="V247" s="454" t="s">
        <v>551</v>
      </c>
      <c r="W247" s="454"/>
      <c r="X247" s="454"/>
      <c r="Y247" s="454"/>
      <c r="Z247" s="454"/>
      <c r="AA247" s="454"/>
      <c r="AB247" s="486"/>
      <c r="AC247" s="486"/>
      <c r="AD247" s="486"/>
      <c r="AE247" s="486"/>
      <c r="AF247" s="486"/>
      <c r="AG247" s="486"/>
      <c r="AH247" s="486"/>
      <c r="AI247" s="486"/>
      <c r="AJ247" s="486"/>
      <c r="AK247" s="486"/>
      <c r="AL247" s="486"/>
      <c r="AM247" s="486"/>
      <c r="AN247" s="486"/>
      <c r="AO247" s="486"/>
      <c r="AP247" s="486"/>
      <c r="AQ247" s="486"/>
      <c r="AR247" s="486"/>
      <c r="AS247" s="486"/>
      <c r="AT247" s="486"/>
      <c r="AU247" s="486"/>
      <c r="AV247" s="486"/>
      <c r="AW247" s="486"/>
      <c r="AX247" s="486"/>
      <c r="AY247" s="486"/>
      <c r="AZ247" s="486"/>
      <c r="BA247" s="486"/>
      <c r="BB247" s="486"/>
      <c r="BC247" s="486"/>
      <c r="BD247" s="486"/>
      <c r="BE247" s="485"/>
      <c r="BF247" s="486"/>
    </row>
    <row r="248" spans="1:58" s="746" customFormat="1" ht="18.75" customHeight="1" x14ac:dyDescent="0.35">
      <c r="A248" s="745"/>
      <c r="B248" s="744" t="s">
        <v>343</v>
      </c>
      <c r="C248" s="748"/>
      <c r="D248" s="748" t="s">
        <v>353</v>
      </c>
      <c r="E248" s="748">
        <f>SUM(E249:E251)</f>
        <v>3</v>
      </c>
      <c r="F248" s="744" t="s">
        <v>32</v>
      </c>
      <c r="G248" s="744" t="s">
        <v>376</v>
      </c>
      <c r="H248" s="744"/>
      <c r="I248" s="748"/>
      <c r="J248" s="744" t="s">
        <v>488</v>
      </c>
      <c r="K248" s="744" t="s">
        <v>489</v>
      </c>
      <c r="L248" s="748" t="s">
        <v>493</v>
      </c>
      <c r="O248" s="943">
        <v>1</v>
      </c>
      <c r="P248" s="944">
        <v>0</v>
      </c>
      <c r="Q248" s="944">
        <v>0.25</v>
      </c>
      <c r="R248" s="943">
        <v>0</v>
      </c>
      <c r="S248" s="943"/>
      <c r="U248" s="830" t="s">
        <v>47</v>
      </c>
      <c r="V248" s="830"/>
      <c r="W248" s="830" t="s">
        <v>552</v>
      </c>
      <c r="X248" s="830"/>
      <c r="Y248" s="830"/>
      <c r="Z248" s="830" t="s">
        <v>7</v>
      </c>
      <c r="AA248" s="830" t="s">
        <v>553</v>
      </c>
      <c r="BE248" s="747"/>
    </row>
    <row r="249" spans="1:58" s="742" customFormat="1" ht="16.5" customHeight="1" x14ac:dyDescent="0.35">
      <c r="A249" s="749"/>
      <c r="B249" s="750">
        <v>1</v>
      </c>
      <c r="C249" s="751" t="str">
        <f>C186</f>
        <v>Is the project derived from a national plan or other medium- to long-term strategic document that establishes the development priorities at the highest levels of the government?</v>
      </c>
      <c r="D249" s="751" t="b">
        <v>1</v>
      </c>
      <c r="E249" s="1365">
        <f>D249*1</f>
        <v>1</v>
      </c>
      <c r="F249" s="1309" t="str">
        <f>'0.Basic Project Data'!H18</f>
        <v>Yes</v>
      </c>
      <c r="G249" s="1366">
        <f>IF(F249=No,1,0)</f>
        <v>0</v>
      </c>
      <c r="H249" s="1317" t="s">
        <v>498</v>
      </c>
      <c r="I249" s="1316">
        <f>IFERROR(SUM(G249:G251)/$E$248,0)</f>
        <v>0</v>
      </c>
      <c r="J249" s="943">
        <f>IF(AND(E249=1,F249=Skip),1,0)</f>
        <v>0</v>
      </c>
      <c r="K249" s="943">
        <f>IF(AND(E249=1,F249=Uncertain),1,0)</f>
        <v>0</v>
      </c>
      <c r="L249" s="1159">
        <f t="shared" ref="L249:L251" si="55">IF(OR(J249=1,K249=1),1,0)</f>
        <v>0</v>
      </c>
      <c r="O249" s="943">
        <v>2</v>
      </c>
      <c r="P249" s="945">
        <v>0.25000099999999997</v>
      </c>
      <c r="Q249" s="945">
        <v>0.5</v>
      </c>
      <c r="R249" s="943">
        <v>0.5</v>
      </c>
      <c r="S249" s="943"/>
      <c r="U249" s="943" t="str">
        <f>C281</f>
        <v>Identification of service need</v>
      </c>
      <c r="V249" s="943">
        <v>1</v>
      </c>
      <c r="W249" s="943">
        <f>IF(I253=1,1,0)</f>
        <v>0</v>
      </c>
      <c r="X249" s="943"/>
      <c r="Y249" s="943"/>
      <c r="Z249" s="943">
        <f>SUM(W249:Y249)</f>
        <v>0</v>
      </c>
      <c r="AA249" s="943">
        <f>VLOOKUP(Z249,$O$262:$P$265,2,FALSE)</f>
        <v>5</v>
      </c>
      <c r="BE249" s="752"/>
    </row>
    <row r="250" spans="1:58" s="742" customFormat="1" ht="16.5" customHeight="1" x14ac:dyDescent="0.35">
      <c r="A250" s="749"/>
      <c r="B250" s="750">
        <v>2</v>
      </c>
      <c r="C250" s="751" t="str">
        <f>C187</f>
        <v>Is the project likely to be economically sound and have direct benefits that are significantly greater than the costs?</v>
      </c>
      <c r="D250" s="751" t="b">
        <v>1</v>
      </c>
      <c r="E250" s="1365">
        <f>D250*1</f>
        <v>1</v>
      </c>
      <c r="F250" s="1309" t="str">
        <f>'0.Basic Project Data'!H19</f>
        <v>Yes</v>
      </c>
      <c r="G250" s="1366">
        <f>IF(F250=No,1,0)</f>
        <v>0</v>
      </c>
      <c r="H250" s="1317" t="s">
        <v>49</v>
      </c>
      <c r="I250" s="1316">
        <f>IFERROR(SUM(J249:J251)/$E$248,0)</f>
        <v>0</v>
      </c>
      <c r="J250" s="943">
        <f>IF(AND(E250=1,F250=Skip),1,0)</f>
        <v>0</v>
      </c>
      <c r="K250" s="943">
        <f>IF(AND(E250=1,F250=Uncertain),1,0)</f>
        <v>0</v>
      </c>
      <c r="L250" s="1159">
        <f t="shared" si="55"/>
        <v>0</v>
      </c>
      <c r="O250" s="943">
        <v>3</v>
      </c>
      <c r="P250" s="945">
        <f>P249+Q248</f>
        <v>0.50000099999999992</v>
      </c>
      <c r="Q250" s="944">
        <v>0.75</v>
      </c>
      <c r="R250" s="943">
        <v>1</v>
      </c>
      <c r="S250" s="943"/>
      <c r="U250" s="943" t="str">
        <f>C286</f>
        <v>Assessment of service delivery options</v>
      </c>
      <c r="V250" s="943">
        <v>1</v>
      </c>
      <c r="W250" s="943">
        <f>IF(I254=1,1,0)</f>
        <v>0</v>
      </c>
      <c r="X250" s="943"/>
      <c r="Y250" s="943"/>
      <c r="Z250" s="943">
        <f t="shared" ref="Z250:Z256" si="56">SUM(W250:Y250)</f>
        <v>0</v>
      </c>
      <c r="AA250" s="943">
        <f t="shared" ref="AA250:AA256" si="57">VLOOKUP(Z250,$O$262:$P$265,2,FALSE)</f>
        <v>5</v>
      </c>
      <c r="BE250" s="752"/>
    </row>
    <row r="251" spans="1:58" s="742" customFormat="1" ht="16.5" customHeight="1" thickBot="1" x14ac:dyDescent="0.4">
      <c r="A251" s="749"/>
      <c r="B251" s="750">
        <v>3</v>
      </c>
      <c r="C251" s="751" t="str">
        <f>C188</f>
        <v>Do sector laws, regulations or policies allow private sector participation in the project?</v>
      </c>
      <c r="D251" s="753" t="b">
        <v>1</v>
      </c>
      <c r="E251" s="1365">
        <f>D251*1</f>
        <v>1</v>
      </c>
      <c r="F251" s="1309" t="str">
        <f>'0.Basic Project Data'!H20</f>
        <v>Yes</v>
      </c>
      <c r="G251" s="1366">
        <f>IF(F251=No,1,0)</f>
        <v>0</v>
      </c>
      <c r="H251" s="1317" t="s">
        <v>79</v>
      </c>
      <c r="I251" s="1316">
        <f>IFERROR(SUM(K249:K251)/$E$248,0)</f>
        <v>0</v>
      </c>
      <c r="J251" s="943">
        <f>IF(AND(E251=1,F251=Skip),1,0)</f>
        <v>0</v>
      </c>
      <c r="K251" s="943">
        <f>IF(AND(E251=1,F251=Uncertain),1,0)</f>
        <v>0</v>
      </c>
      <c r="L251" s="1159">
        <f t="shared" si="55"/>
        <v>0</v>
      </c>
      <c r="O251" s="943">
        <v>4</v>
      </c>
      <c r="P251" s="945">
        <f>P250+Q248</f>
        <v>0.75000099999999992</v>
      </c>
      <c r="Q251" s="944">
        <v>0.99</v>
      </c>
      <c r="R251" s="943">
        <v>1.5</v>
      </c>
      <c r="S251" s="943"/>
      <c r="U251" s="943" t="str">
        <f>C301</f>
        <v>Technical Prefeasibility</v>
      </c>
      <c r="V251" s="943">
        <v>3</v>
      </c>
      <c r="W251" s="943">
        <f>IF(I255=1,1,0)</f>
        <v>0</v>
      </c>
      <c r="X251" s="943">
        <f>IF(I256=1,1,0)</f>
        <v>0</v>
      </c>
      <c r="Y251" s="943">
        <f>IF(I261=1,1,0)</f>
        <v>0</v>
      </c>
      <c r="Z251" s="943">
        <f t="shared" si="56"/>
        <v>0</v>
      </c>
      <c r="AA251" s="943">
        <f t="shared" si="57"/>
        <v>5</v>
      </c>
      <c r="BE251" s="752"/>
    </row>
    <row r="252" spans="1:58" s="746" customFormat="1" ht="18" x14ac:dyDescent="0.35">
      <c r="A252" s="745"/>
      <c r="B252" s="744" t="s">
        <v>346</v>
      </c>
      <c r="C252" s="744"/>
      <c r="D252" s="744" t="s">
        <v>352</v>
      </c>
      <c r="E252" s="744">
        <f>SUM(E253:E264)</f>
        <v>12</v>
      </c>
      <c r="F252" s="744" t="s">
        <v>449</v>
      </c>
      <c r="G252" s="744" t="s">
        <v>376</v>
      </c>
      <c r="H252" s="744" t="s">
        <v>115</v>
      </c>
      <c r="I252" s="744" t="s">
        <v>50</v>
      </c>
      <c r="J252" s="744" t="s">
        <v>487</v>
      </c>
      <c r="K252" s="744" t="s">
        <v>490</v>
      </c>
      <c r="L252" s="744" t="s">
        <v>493</v>
      </c>
      <c r="M252" s="744" t="s">
        <v>0</v>
      </c>
      <c r="N252" s="742"/>
      <c r="O252" s="943"/>
      <c r="P252" s="945">
        <v>1</v>
      </c>
      <c r="Q252" s="944"/>
      <c r="R252" s="943">
        <v>2</v>
      </c>
      <c r="S252" s="943"/>
      <c r="U252" s="943" t="str">
        <f>C310</f>
        <v>Environmental Sustainability</v>
      </c>
      <c r="V252" s="1383">
        <v>1</v>
      </c>
      <c r="W252" s="1383">
        <f>IF(I257=1,1,0)</f>
        <v>0</v>
      </c>
      <c r="X252" s="1383"/>
      <c r="Y252" s="1383"/>
      <c r="Z252" s="943">
        <f t="shared" si="56"/>
        <v>0</v>
      </c>
      <c r="AA252" s="943">
        <f t="shared" si="57"/>
        <v>5</v>
      </c>
      <c r="BE252" s="747"/>
    </row>
    <row r="253" spans="1:58" s="742" customFormat="1" ht="18" x14ac:dyDescent="0.35">
      <c r="A253" s="749"/>
      <c r="B253" s="750">
        <v>1</v>
      </c>
      <c r="C253" s="754" t="s">
        <v>51</v>
      </c>
      <c r="D253" s="750" t="b">
        <v>1</v>
      </c>
      <c r="E253" s="1365">
        <f t="shared" ref="E253:E264" si="58">D253*1</f>
        <v>1</v>
      </c>
      <c r="F253" s="750" t="str">
        <f>IF(E253=1,$G$282,NA)</f>
        <v>Yes</v>
      </c>
      <c r="G253" s="1366">
        <f t="shared" ref="G253:G264" si="59">IF(F253="No",1,0)</f>
        <v>0</v>
      </c>
      <c r="H253" s="750" t="s">
        <v>426</v>
      </c>
      <c r="I253" s="1366">
        <f>IF(E253=1,G253,0)</f>
        <v>0</v>
      </c>
      <c r="J253" s="943">
        <f t="shared" ref="J253:J264" si="60">IF(AND(E253=1,F253=Skip),1,0)</f>
        <v>0</v>
      </c>
      <c r="K253" s="943">
        <f t="shared" ref="K253:K264" si="61">IF(AND(E253=1,F253=Uncertain),1,0)</f>
        <v>0</v>
      </c>
      <c r="L253" s="1159">
        <f>IF(OR(J253=1,K253=1),1,0)</f>
        <v>0</v>
      </c>
      <c r="M253" s="1626">
        <v>1</v>
      </c>
      <c r="U253" s="943" t="str">
        <f>C318</f>
        <v>Social Sustainability</v>
      </c>
      <c r="V253" s="943">
        <v>3</v>
      </c>
      <c r="W253" s="1383">
        <f>IF(I258=1,1,0)</f>
        <v>0</v>
      </c>
      <c r="X253" s="943">
        <f>IF(I259=1,1,0)</f>
        <v>0</v>
      </c>
      <c r="Y253" s="943">
        <f>IF(I262=1,1,0)</f>
        <v>0</v>
      </c>
      <c r="Z253" s="943">
        <f t="shared" si="56"/>
        <v>0</v>
      </c>
      <c r="AA253" s="943">
        <f t="shared" si="57"/>
        <v>5</v>
      </c>
      <c r="BE253" s="752"/>
    </row>
    <row r="254" spans="1:58" s="742" customFormat="1" x14ac:dyDescent="0.3">
      <c r="A254" s="749"/>
      <c r="B254" s="750">
        <f>B253+1</f>
        <v>2</v>
      </c>
      <c r="C254" s="754" t="s">
        <v>93</v>
      </c>
      <c r="D254" s="750" t="b">
        <v>1</v>
      </c>
      <c r="E254" s="1365">
        <f t="shared" si="58"/>
        <v>1</v>
      </c>
      <c r="F254" s="1389" t="str">
        <f>IF(E254=1,$G$287,NA)</f>
        <v>Yes</v>
      </c>
      <c r="G254" s="1366">
        <f t="shared" si="59"/>
        <v>0</v>
      </c>
      <c r="H254" s="750" t="s">
        <v>427</v>
      </c>
      <c r="I254" s="1366">
        <f t="shared" ref="I254:I264" si="62">IF(E254=1,G254,0)</f>
        <v>0</v>
      </c>
      <c r="J254" s="943">
        <f t="shared" si="60"/>
        <v>0</v>
      </c>
      <c r="K254" s="943">
        <f t="shared" si="61"/>
        <v>0</v>
      </c>
      <c r="L254" s="1159">
        <f t="shared" ref="L254:L264" si="63">IF(OR(J254=1,K254=1),1,0)</f>
        <v>0</v>
      </c>
      <c r="M254" s="1626">
        <v>1</v>
      </c>
      <c r="U254" s="943" t="str">
        <f>C344</f>
        <v>Legal Prefeasibility</v>
      </c>
      <c r="V254" s="943">
        <v>1</v>
      </c>
      <c r="W254" s="943">
        <f>IF(I263=1,1,0)</f>
        <v>0</v>
      </c>
      <c r="X254" s="943"/>
      <c r="Y254" s="943"/>
      <c r="Z254" s="943">
        <f t="shared" si="56"/>
        <v>0</v>
      </c>
      <c r="AA254" s="943">
        <f t="shared" si="57"/>
        <v>5</v>
      </c>
      <c r="BE254" s="752"/>
    </row>
    <row r="255" spans="1:58" s="742" customFormat="1" x14ac:dyDescent="0.3">
      <c r="A255" s="749"/>
      <c r="B255" s="750">
        <f>B254+1</f>
        <v>3</v>
      </c>
      <c r="C255" s="754" t="s">
        <v>55</v>
      </c>
      <c r="D255" s="750" t="b">
        <v>1</v>
      </c>
      <c r="E255" s="1365">
        <f t="shared" si="58"/>
        <v>1</v>
      </c>
      <c r="F255" s="1389" t="str">
        <f>IF(E255=1,$G$304,NA)</f>
        <v>Yes</v>
      </c>
      <c r="G255" s="1366">
        <f t="shared" si="59"/>
        <v>0</v>
      </c>
      <c r="H255" s="750" t="s">
        <v>428</v>
      </c>
      <c r="I255" s="1366">
        <f t="shared" si="62"/>
        <v>0</v>
      </c>
      <c r="J255" s="943">
        <f t="shared" si="60"/>
        <v>0</v>
      </c>
      <c r="K255" s="943">
        <f t="shared" si="61"/>
        <v>0</v>
      </c>
      <c r="L255" s="1159">
        <f t="shared" si="63"/>
        <v>0</v>
      </c>
      <c r="M255" s="1626">
        <v>2</v>
      </c>
      <c r="U255" s="943" t="str">
        <f>C365</f>
        <v>Financing Risk</v>
      </c>
      <c r="V255" s="943">
        <v>1</v>
      </c>
      <c r="W255" s="943">
        <f>IF(I264=1,1,0)</f>
        <v>0</v>
      </c>
      <c r="X255" s="943"/>
      <c r="Y255" s="943"/>
      <c r="Z255" s="943">
        <f t="shared" si="56"/>
        <v>0</v>
      </c>
      <c r="AA255" s="943">
        <f t="shared" si="57"/>
        <v>5</v>
      </c>
      <c r="BE255" s="752"/>
    </row>
    <row r="256" spans="1:58" s="742" customFormat="1" x14ac:dyDescent="0.3">
      <c r="A256" s="749"/>
      <c r="B256" s="750">
        <f t="shared" ref="B256:B264" si="64">B255+1</f>
        <v>4</v>
      </c>
      <c r="C256" s="754" t="s">
        <v>350</v>
      </c>
      <c r="D256" s="750" t="b">
        <v>1</v>
      </c>
      <c r="E256" s="1365">
        <f t="shared" si="58"/>
        <v>1</v>
      </c>
      <c r="F256" s="1389" t="str">
        <f>IF(E256=1,$G$307,NA)</f>
        <v>Yes</v>
      </c>
      <c r="G256" s="1366">
        <f t="shared" si="59"/>
        <v>0</v>
      </c>
      <c r="H256" s="750" t="s">
        <v>428</v>
      </c>
      <c r="I256" s="1366">
        <f t="shared" si="62"/>
        <v>0</v>
      </c>
      <c r="J256" s="943">
        <f t="shared" si="60"/>
        <v>0</v>
      </c>
      <c r="K256" s="943">
        <f t="shared" si="61"/>
        <v>0</v>
      </c>
      <c r="L256" s="1159">
        <f t="shared" si="63"/>
        <v>0</v>
      </c>
      <c r="M256" s="1626">
        <v>2</v>
      </c>
      <c r="O256" s="454"/>
      <c r="P256" s="454" t="s">
        <v>377</v>
      </c>
      <c r="Q256" s="454"/>
      <c r="R256" s="454" t="s">
        <v>378</v>
      </c>
      <c r="S256" s="454"/>
      <c r="U256" s="943" t="str">
        <f>C451</f>
        <v>Quantification of Fiscal Support</v>
      </c>
      <c r="V256" s="943">
        <v>1</v>
      </c>
      <c r="W256" s="943">
        <f>IF(I260=1,1,0)</f>
        <v>0</v>
      </c>
      <c r="X256" s="943"/>
      <c r="Y256" s="943"/>
      <c r="Z256" s="943">
        <f t="shared" si="56"/>
        <v>0</v>
      </c>
      <c r="AA256" s="943">
        <f t="shared" si="57"/>
        <v>5</v>
      </c>
      <c r="BE256" s="752"/>
    </row>
    <row r="257" spans="1:57" s="742" customFormat="1" x14ac:dyDescent="0.3">
      <c r="A257" s="749"/>
      <c r="B257" s="750">
        <f t="shared" si="64"/>
        <v>5</v>
      </c>
      <c r="C257" s="754" t="s">
        <v>351</v>
      </c>
      <c r="D257" s="750" t="b">
        <v>1</v>
      </c>
      <c r="E257" s="1365">
        <f t="shared" si="58"/>
        <v>1</v>
      </c>
      <c r="F257" s="1389" t="str">
        <f>IF(E257=1,$G$312,NA)</f>
        <v>Yes</v>
      </c>
      <c r="G257" s="1366">
        <f t="shared" si="59"/>
        <v>0</v>
      </c>
      <c r="H257" s="750" t="s">
        <v>428</v>
      </c>
      <c r="I257" s="1366">
        <f t="shared" si="62"/>
        <v>0</v>
      </c>
      <c r="J257" s="943">
        <f t="shared" si="60"/>
        <v>0</v>
      </c>
      <c r="K257" s="943">
        <f t="shared" si="61"/>
        <v>0</v>
      </c>
      <c r="L257" s="1159">
        <f t="shared" si="63"/>
        <v>0</v>
      </c>
      <c r="M257" s="1626">
        <v>2</v>
      </c>
      <c r="O257" s="943"/>
      <c r="P257" s="944">
        <v>0.5</v>
      </c>
      <c r="Q257" s="944">
        <v>1</v>
      </c>
      <c r="R257" s="943">
        <v>1</v>
      </c>
      <c r="S257" s="943"/>
      <c r="BE257" s="752"/>
    </row>
    <row r="258" spans="1:57" s="742" customFormat="1" x14ac:dyDescent="0.3">
      <c r="A258" s="749"/>
      <c r="B258" s="750">
        <f t="shared" si="64"/>
        <v>6</v>
      </c>
      <c r="C258" s="754" t="s">
        <v>101</v>
      </c>
      <c r="D258" s="750" t="b">
        <v>1</v>
      </c>
      <c r="E258" s="1365">
        <f t="shared" si="58"/>
        <v>1</v>
      </c>
      <c r="F258" s="1389" t="str">
        <f>IF(E258=1,$G$321,NA)</f>
        <v>Yes</v>
      </c>
      <c r="G258" s="1366">
        <f t="shared" si="59"/>
        <v>0</v>
      </c>
      <c r="H258" s="750" t="s">
        <v>428</v>
      </c>
      <c r="I258" s="1366">
        <f t="shared" si="62"/>
        <v>0</v>
      </c>
      <c r="J258" s="943">
        <f t="shared" si="60"/>
        <v>0</v>
      </c>
      <c r="K258" s="943">
        <f t="shared" si="61"/>
        <v>0</v>
      </c>
      <c r="L258" s="1159">
        <f t="shared" si="63"/>
        <v>0</v>
      </c>
      <c r="M258" s="1626">
        <v>2</v>
      </c>
      <c r="O258" s="943"/>
      <c r="P258" s="944">
        <v>0.25</v>
      </c>
      <c r="Q258" s="944">
        <v>0.5</v>
      </c>
      <c r="R258" s="943">
        <v>2</v>
      </c>
      <c r="S258" s="943"/>
      <c r="BE258" s="752"/>
    </row>
    <row r="259" spans="1:57" s="742" customFormat="1" ht="16.5" customHeight="1" x14ac:dyDescent="0.3">
      <c r="A259" s="749"/>
      <c r="B259" s="750">
        <f t="shared" si="64"/>
        <v>7</v>
      </c>
      <c r="C259" s="754" t="s">
        <v>102</v>
      </c>
      <c r="D259" s="750" t="b">
        <v>1</v>
      </c>
      <c r="E259" s="1365">
        <f t="shared" si="58"/>
        <v>1</v>
      </c>
      <c r="F259" s="1389" t="str">
        <f>IF(E259=1,$G$324,NA)</f>
        <v>N/A</v>
      </c>
      <c r="G259" s="1366">
        <f t="shared" si="59"/>
        <v>0</v>
      </c>
      <c r="H259" s="750" t="s">
        <v>428</v>
      </c>
      <c r="I259" s="1366">
        <f t="shared" si="62"/>
        <v>0</v>
      </c>
      <c r="J259" s="943">
        <f t="shared" si="60"/>
        <v>0</v>
      </c>
      <c r="K259" s="943">
        <f t="shared" si="61"/>
        <v>0</v>
      </c>
      <c r="L259" s="1159">
        <f t="shared" si="63"/>
        <v>0</v>
      </c>
      <c r="M259" s="1626">
        <v>2</v>
      </c>
      <c r="BE259" s="752"/>
    </row>
    <row r="260" spans="1:57" s="742" customFormat="1" ht="16.5" customHeight="1" x14ac:dyDescent="0.3">
      <c r="A260" s="749"/>
      <c r="B260" s="750">
        <f t="shared" si="64"/>
        <v>8</v>
      </c>
      <c r="C260" s="754" t="s">
        <v>82</v>
      </c>
      <c r="D260" s="750" t="b">
        <v>1</v>
      </c>
      <c r="E260" s="1365">
        <f>IF('0.Basic Project Data'!H25="No",0,D260*1)</f>
        <v>1</v>
      </c>
      <c r="F260" s="1389" t="str">
        <f>IF(E260=1,$G$454,NA)</f>
        <v>Yes</v>
      </c>
      <c r="G260" s="1366">
        <f t="shared" si="59"/>
        <v>0</v>
      </c>
      <c r="H260" s="750" t="s">
        <v>429</v>
      </c>
      <c r="I260" s="1366">
        <f t="shared" si="62"/>
        <v>0</v>
      </c>
      <c r="J260" s="943">
        <f t="shared" si="60"/>
        <v>0</v>
      </c>
      <c r="K260" s="943">
        <f t="shared" si="61"/>
        <v>0</v>
      </c>
      <c r="L260" s="1159">
        <f t="shared" si="63"/>
        <v>0</v>
      </c>
      <c r="M260" s="1626">
        <v>5</v>
      </c>
      <c r="O260" s="454" t="s">
        <v>549</v>
      </c>
      <c r="P260" s="456"/>
      <c r="BE260" s="752"/>
    </row>
    <row r="261" spans="1:57" s="742" customFormat="1" ht="16.5" customHeight="1" x14ac:dyDescent="0.3">
      <c r="A261" s="749"/>
      <c r="B261" s="1371">
        <f t="shared" si="64"/>
        <v>9</v>
      </c>
      <c r="C261" s="1368" t="s">
        <v>98</v>
      </c>
      <c r="D261" s="1371" t="b">
        <v>1</v>
      </c>
      <c r="E261" s="1365">
        <f t="shared" si="58"/>
        <v>1</v>
      </c>
      <c r="F261" s="1389" t="str">
        <f>IF(E261=1,$G$305,NA)</f>
        <v>Yes</v>
      </c>
      <c r="G261" s="1366">
        <f t="shared" si="59"/>
        <v>0</v>
      </c>
      <c r="H261" s="1371" t="s">
        <v>542</v>
      </c>
      <c r="I261" s="1366">
        <f t="shared" si="62"/>
        <v>0</v>
      </c>
      <c r="J261" s="943">
        <f t="shared" si="60"/>
        <v>0</v>
      </c>
      <c r="K261" s="943">
        <f t="shared" si="61"/>
        <v>0</v>
      </c>
      <c r="L261" s="1159">
        <f t="shared" si="63"/>
        <v>0</v>
      </c>
      <c r="M261" s="1626">
        <v>2</v>
      </c>
      <c r="O261" s="943" t="s">
        <v>31</v>
      </c>
      <c r="P261" s="943" t="s">
        <v>50</v>
      </c>
      <c r="BE261" s="752"/>
    </row>
    <row r="262" spans="1:57" s="742" customFormat="1" ht="16.5" customHeight="1" x14ac:dyDescent="0.3">
      <c r="A262" s="749"/>
      <c r="B262" s="1371">
        <f t="shared" si="64"/>
        <v>10</v>
      </c>
      <c r="C262" s="1368" t="s">
        <v>381</v>
      </c>
      <c r="D262" s="1371" t="b">
        <v>1</v>
      </c>
      <c r="E262" s="1365">
        <f t="shared" si="58"/>
        <v>1</v>
      </c>
      <c r="F262" s="1389" t="str">
        <f>IF(E262=1,$G$320,NA)</f>
        <v>Yes</v>
      </c>
      <c r="G262" s="1366">
        <f t="shared" si="59"/>
        <v>0</v>
      </c>
      <c r="H262" s="1371" t="s">
        <v>545</v>
      </c>
      <c r="I262" s="1366">
        <f t="shared" si="62"/>
        <v>0</v>
      </c>
      <c r="J262" s="943">
        <f t="shared" si="60"/>
        <v>0</v>
      </c>
      <c r="K262" s="943">
        <f t="shared" si="61"/>
        <v>0</v>
      </c>
      <c r="L262" s="1159">
        <f t="shared" si="63"/>
        <v>0</v>
      </c>
      <c r="M262" s="1626">
        <v>2</v>
      </c>
      <c r="O262" s="943">
        <v>1</v>
      </c>
      <c r="P262" s="943">
        <v>2</v>
      </c>
      <c r="BE262" s="752"/>
    </row>
    <row r="263" spans="1:57" s="742" customFormat="1" ht="16.5" customHeight="1" x14ac:dyDescent="0.3">
      <c r="A263" s="749"/>
      <c r="B263" s="1371">
        <f t="shared" si="64"/>
        <v>11</v>
      </c>
      <c r="C263" s="1368" t="s">
        <v>308</v>
      </c>
      <c r="D263" s="1371" t="b">
        <v>1</v>
      </c>
      <c r="E263" s="1365">
        <f t="shared" si="58"/>
        <v>1</v>
      </c>
      <c r="F263" s="1389" t="str">
        <f>IF(E263=1,$G$349,NA)</f>
        <v>Yes</v>
      </c>
      <c r="G263" s="1366">
        <f t="shared" si="59"/>
        <v>0</v>
      </c>
      <c r="H263" s="1371" t="s">
        <v>546</v>
      </c>
      <c r="I263" s="1366">
        <f t="shared" si="62"/>
        <v>0</v>
      </c>
      <c r="J263" s="943">
        <f t="shared" si="60"/>
        <v>0</v>
      </c>
      <c r="K263" s="943">
        <f t="shared" si="61"/>
        <v>0</v>
      </c>
      <c r="L263" s="1159">
        <f t="shared" si="63"/>
        <v>0</v>
      </c>
      <c r="M263" s="1626">
        <v>2</v>
      </c>
      <c r="O263" s="943">
        <v>2</v>
      </c>
      <c r="P263" s="943">
        <v>1.5</v>
      </c>
      <c r="BE263" s="752"/>
    </row>
    <row r="264" spans="1:57" s="742" customFormat="1" ht="16.5" customHeight="1" thickBot="1" x14ac:dyDescent="0.35">
      <c r="A264" s="749"/>
      <c r="B264" s="1371">
        <f t="shared" si="64"/>
        <v>12</v>
      </c>
      <c r="C264" s="1368" t="s">
        <v>74</v>
      </c>
      <c r="D264" s="1371" t="b">
        <v>1</v>
      </c>
      <c r="E264" s="1365">
        <f t="shared" si="58"/>
        <v>1</v>
      </c>
      <c r="F264" s="1389" t="str">
        <f>IF(E264=1,$G$367,NA)</f>
        <v>Yes</v>
      </c>
      <c r="G264" s="1366">
        <f t="shared" si="59"/>
        <v>0</v>
      </c>
      <c r="H264" s="1371" t="s">
        <v>547</v>
      </c>
      <c r="I264" s="1366">
        <f t="shared" si="62"/>
        <v>0</v>
      </c>
      <c r="J264" s="943">
        <f t="shared" si="60"/>
        <v>0</v>
      </c>
      <c r="K264" s="943">
        <f t="shared" si="61"/>
        <v>0</v>
      </c>
      <c r="L264" s="1159">
        <f t="shared" si="63"/>
        <v>0</v>
      </c>
      <c r="M264" s="1626">
        <v>3</v>
      </c>
      <c r="O264" s="943">
        <v>3</v>
      </c>
      <c r="P264" s="943">
        <v>1</v>
      </c>
      <c r="BE264" s="752"/>
    </row>
    <row r="265" spans="1:57" s="742" customFormat="1" ht="16.5" customHeight="1" thickBot="1" x14ac:dyDescent="0.4">
      <c r="A265" s="749"/>
      <c r="C265" s="1039" t="s">
        <v>499</v>
      </c>
      <c r="D265" s="743">
        <f>SUM(I253:I264)</f>
        <v>0</v>
      </c>
      <c r="E265" s="758">
        <f>D265/COUNT(I253:I264)</f>
        <v>0</v>
      </c>
      <c r="F265" s="757" t="s">
        <v>379</v>
      </c>
      <c r="G265" s="947">
        <f>$D$269*(D266-D265)/((1-D268)*D266)</f>
        <v>2.6666666666666665</v>
      </c>
      <c r="I265" s="742">
        <f>IF(AND(E265=1,G265=0),1,0)</f>
        <v>0</v>
      </c>
      <c r="J265" s="744" t="s">
        <v>491</v>
      </c>
      <c r="K265" s="744" t="s">
        <v>492</v>
      </c>
      <c r="L265" s="757" t="s">
        <v>497</v>
      </c>
      <c r="M265" s="743">
        <f>SUM(L253:L264)</f>
        <v>0</v>
      </c>
      <c r="O265" s="943">
        <v>0</v>
      </c>
      <c r="P265" s="943">
        <v>5</v>
      </c>
      <c r="BE265" s="752"/>
    </row>
    <row r="266" spans="1:57" s="742" customFormat="1" ht="16.5" customHeight="1" x14ac:dyDescent="0.3">
      <c r="A266" s="749"/>
      <c r="C266" s="1039" t="s">
        <v>346</v>
      </c>
      <c r="D266" s="743">
        <f>COUNTIF(E253:E264,1)</f>
        <v>12</v>
      </c>
      <c r="E266" s="758">
        <f>IFERROR(1-(D265/D266),0)</f>
        <v>1</v>
      </c>
      <c r="F266" s="946" t="s">
        <v>380</v>
      </c>
      <c r="G266" s="1944"/>
      <c r="J266" s="1159">
        <f>COUNTIF(F253:F264,Skip)</f>
        <v>0</v>
      </c>
      <c r="K266" s="1159">
        <f>COUNTIF(F253:F264,Uncertain)</f>
        <v>0</v>
      </c>
      <c r="L266" s="757" t="s">
        <v>496</v>
      </c>
      <c r="M266" s="1315">
        <f>IFERROR(M265/$D$266,0)</f>
        <v>0</v>
      </c>
      <c r="N266" s="757" t="s">
        <v>654</v>
      </c>
      <c r="O266" s="457">
        <v>1</v>
      </c>
      <c r="P266" s="457">
        <v>2</v>
      </c>
      <c r="Q266" s="457">
        <v>3</v>
      </c>
      <c r="R266" s="457">
        <v>4</v>
      </c>
      <c r="S266" s="457">
        <v>5</v>
      </c>
      <c r="T266" s="457">
        <v>6</v>
      </c>
      <c r="BE266" s="752"/>
    </row>
    <row r="267" spans="1:57" s="742" customFormat="1" ht="16.5" customHeight="1" x14ac:dyDescent="0.3">
      <c r="A267" s="749"/>
      <c r="C267" s="1039" t="s">
        <v>354</v>
      </c>
      <c r="D267" s="743">
        <f>COUNTIF(G253:G264,1)</f>
        <v>0</v>
      </c>
      <c r="E267" s="1001"/>
      <c r="F267" s="1002"/>
      <c r="G267" s="1000"/>
      <c r="J267" s="1308">
        <f>IFERROR(J266/$D$266,0)</f>
        <v>0</v>
      </c>
      <c r="K267" s="1308">
        <f>IFERROR(K266/$D$266,0)</f>
        <v>0</v>
      </c>
      <c r="N267" s="757" t="s">
        <v>693</v>
      </c>
      <c r="O267" s="1077">
        <f>SUMIF($M253:$M264,O$266,$I253:$I264)</f>
        <v>0</v>
      </c>
      <c r="P267" s="1077">
        <f t="shared" ref="P267:T267" si="65">SUMIF($M253:$M264,P$266,$I253:$I264)</f>
        <v>0</v>
      </c>
      <c r="Q267" s="1077">
        <f t="shared" si="65"/>
        <v>0</v>
      </c>
      <c r="R267" s="1077">
        <f t="shared" si="65"/>
        <v>0</v>
      </c>
      <c r="S267" s="1077">
        <f t="shared" si="65"/>
        <v>0</v>
      </c>
      <c r="T267" s="1077">
        <f t="shared" si="65"/>
        <v>0</v>
      </c>
      <c r="BE267" s="752"/>
    </row>
    <row r="268" spans="1:57" s="742" customFormat="1" ht="16.5" customHeight="1" x14ac:dyDescent="0.3">
      <c r="A268" s="749"/>
      <c r="C268" s="1039" t="s">
        <v>779</v>
      </c>
      <c r="D268" s="1027">
        <f>D152</f>
        <v>0.25</v>
      </c>
      <c r="E268" s="1001"/>
      <c r="F268" s="1937"/>
      <c r="G268" s="1938"/>
      <c r="J268" s="1840"/>
      <c r="K268" s="1840"/>
      <c r="N268" s="757" t="s">
        <v>694</v>
      </c>
      <c r="O268" s="1077">
        <f>SUMIF($M253:$M264,O$266,$K253:$K264)</f>
        <v>0</v>
      </c>
      <c r="P268" s="1077">
        <f t="shared" ref="P268:T268" si="66">SUMIF($M253:$M264,P$266,$K253:$K264)</f>
        <v>0</v>
      </c>
      <c r="Q268" s="1077">
        <f t="shared" si="66"/>
        <v>0</v>
      </c>
      <c r="R268" s="1077">
        <f t="shared" si="66"/>
        <v>0</v>
      </c>
      <c r="S268" s="1077">
        <f t="shared" si="66"/>
        <v>0</v>
      </c>
      <c r="T268" s="1077">
        <f t="shared" si="66"/>
        <v>0</v>
      </c>
      <c r="BE268" s="752"/>
    </row>
    <row r="269" spans="1:57" s="742" customFormat="1" ht="16.5" customHeight="1" x14ac:dyDescent="0.3">
      <c r="A269" s="749"/>
      <c r="C269" s="1039" t="s">
        <v>781</v>
      </c>
      <c r="D269" s="1945">
        <f>E152</f>
        <v>2</v>
      </c>
      <c r="E269" s="1001"/>
      <c r="F269" s="1002"/>
      <c r="G269" s="1000"/>
      <c r="J269" s="1840"/>
      <c r="K269" s="1840"/>
      <c r="N269" s="757" t="s">
        <v>695</v>
      </c>
      <c r="O269" s="1077">
        <f>SUMIF($M254:$M265,O$266,$J254:$J265)</f>
        <v>0</v>
      </c>
      <c r="P269" s="1077">
        <f t="shared" ref="P269:T269" si="67">SUMIF($M254:$M265,P$266,$J254:$J265)</f>
        <v>0</v>
      </c>
      <c r="Q269" s="1077">
        <f t="shared" si="67"/>
        <v>0</v>
      </c>
      <c r="R269" s="1077">
        <f t="shared" si="67"/>
        <v>0</v>
      </c>
      <c r="S269" s="1077">
        <f t="shared" si="67"/>
        <v>0</v>
      </c>
      <c r="T269" s="1077">
        <f t="shared" si="67"/>
        <v>0</v>
      </c>
      <c r="BE269" s="752"/>
    </row>
    <row r="270" spans="1:57" s="742" customFormat="1" ht="16.5" customHeight="1" x14ac:dyDescent="0.3">
      <c r="A270" s="749"/>
      <c r="C270" s="1839"/>
      <c r="D270" s="1000"/>
      <c r="E270" s="1001"/>
      <c r="F270" s="1002"/>
      <c r="G270" s="1000"/>
      <c r="J270" s="1840"/>
      <c r="K270" s="1840"/>
      <c r="N270" s="1841"/>
      <c r="O270" s="1000"/>
      <c r="P270" s="1000"/>
      <c r="Q270" s="1000"/>
      <c r="R270" s="1000"/>
      <c r="S270" s="1000"/>
      <c r="T270" s="1000"/>
      <c r="BE270" s="752"/>
    </row>
    <row r="271" spans="1:57" s="742" customFormat="1" ht="16.5" customHeight="1" x14ac:dyDescent="0.3">
      <c r="A271" s="749"/>
      <c r="C271" s="1839"/>
      <c r="D271" s="1000"/>
      <c r="E271" s="1001"/>
      <c r="F271" s="1002"/>
      <c r="G271" s="1000"/>
      <c r="J271" s="1840"/>
      <c r="K271" s="1840"/>
      <c r="N271" s="1841"/>
      <c r="O271" s="1000"/>
      <c r="P271" s="1000"/>
      <c r="Q271" s="1000"/>
      <c r="R271" s="1000"/>
      <c r="S271" s="1000"/>
      <c r="T271" s="1000"/>
      <c r="BE271" s="752"/>
    </row>
    <row r="272" spans="1:57" s="440" customFormat="1" ht="25.8" x14ac:dyDescent="0.5">
      <c r="A272" s="822" t="s">
        <v>505</v>
      </c>
      <c r="B272" s="510"/>
      <c r="C272" s="511"/>
      <c r="D272" s="821" t="s">
        <v>367</v>
      </c>
      <c r="E272" s="511"/>
      <c r="F272" s="511"/>
      <c r="G272" s="511"/>
      <c r="H272" s="511"/>
      <c r="I272" s="511"/>
      <c r="J272" s="511"/>
      <c r="K272" s="511"/>
      <c r="L272" s="511"/>
      <c r="M272" s="511"/>
      <c r="N272" s="511"/>
      <c r="O272" s="511"/>
      <c r="P272" s="511"/>
      <c r="Q272" s="511"/>
      <c r="R272" s="821" t="s">
        <v>456</v>
      </c>
      <c r="S272" s="511"/>
      <c r="T272" s="511"/>
      <c r="U272" s="511"/>
      <c r="V272" s="511"/>
      <c r="W272" s="821" t="s">
        <v>368</v>
      </c>
      <c r="X272" s="511"/>
      <c r="Y272" s="821"/>
      <c r="Z272" s="511"/>
      <c r="AA272" s="511"/>
      <c r="AB272" s="511"/>
      <c r="AC272" s="511"/>
      <c r="AD272" s="511"/>
      <c r="AE272" s="821" t="s">
        <v>369</v>
      </c>
      <c r="AF272" s="511"/>
      <c r="AG272" s="511"/>
      <c r="AH272" s="511"/>
      <c r="AI272" s="511"/>
      <c r="AJ272" s="511"/>
      <c r="AK272" s="511"/>
      <c r="AL272" s="511"/>
      <c r="AM272" s="511"/>
      <c r="AN272" s="511"/>
      <c r="AO272" s="511"/>
      <c r="AP272" s="511"/>
      <c r="AQ272" s="511"/>
      <c r="AR272" s="511"/>
      <c r="AS272" s="511"/>
      <c r="AT272" s="511"/>
      <c r="AU272" s="511"/>
      <c r="AV272" s="511"/>
      <c r="AW272" s="511"/>
      <c r="AX272" s="511"/>
      <c r="AY272" s="511"/>
      <c r="AZ272" s="511"/>
      <c r="BA272" s="511"/>
      <c r="BB272" s="511"/>
      <c r="BC272" s="511"/>
      <c r="BD272" s="511"/>
      <c r="BE272" s="439"/>
    </row>
    <row r="273" spans="1:57" s="440" customFormat="1" ht="15.75" customHeight="1" thickBot="1" x14ac:dyDescent="0.55000000000000004">
      <c r="A273" s="487"/>
      <c r="B273" s="512"/>
      <c r="Q273" s="513"/>
      <c r="BE273" s="439"/>
    </row>
    <row r="274" spans="1:57" s="440" customFormat="1" ht="33" customHeight="1" x14ac:dyDescent="0.3">
      <c r="B274" s="731" t="s">
        <v>31</v>
      </c>
      <c r="C274" s="731" t="s">
        <v>326</v>
      </c>
      <c r="D274" s="732" t="s">
        <v>464</v>
      </c>
      <c r="E274" s="732" t="s">
        <v>279</v>
      </c>
      <c r="F274" s="732" t="s">
        <v>32</v>
      </c>
      <c r="G274" s="732" t="s">
        <v>449</v>
      </c>
      <c r="H274" s="732" t="s">
        <v>355</v>
      </c>
      <c r="I274" s="732" t="s">
        <v>360</v>
      </c>
      <c r="J274" s="732" t="s">
        <v>361</v>
      </c>
      <c r="K274" s="732" t="s">
        <v>359</v>
      </c>
      <c r="L274" s="732" t="s">
        <v>340</v>
      </c>
      <c r="M274" s="732" t="s">
        <v>356</v>
      </c>
      <c r="N274" s="809" t="s">
        <v>365</v>
      </c>
      <c r="O274" s="809" t="s">
        <v>253</v>
      </c>
      <c r="P274" s="809" t="s">
        <v>115</v>
      </c>
      <c r="Q274" s="809" t="s">
        <v>673</v>
      </c>
      <c r="R274" s="732" t="s">
        <v>455</v>
      </c>
      <c r="S274" s="732" t="s">
        <v>363</v>
      </c>
      <c r="T274" s="732"/>
      <c r="U274" s="731"/>
      <c r="V274" s="759"/>
      <c r="W274" s="454" t="s">
        <v>223</v>
      </c>
      <c r="X274" s="837" t="s">
        <v>373</v>
      </c>
      <c r="Y274" s="463"/>
      <c r="Z274" s="467" t="s">
        <v>15</v>
      </c>
      <c r="AA274" s="468" t="s">
        <v>372</v>
      </c>
      <c r="AB274" s="469"/>
      <c r="AE274" s="454" t="s">
        <v>370</v>
      </c>
      <c r="AF274" s="454" t="s">
        <v>371</v>
      </c>
      <c r="AG274" s="454" t="s">
        <v>282</v>
      </c>
      <c r="AH274" s="441"/>
      <c r="BE274" s="439"/>
    </row>
    <row r="275" spans="1:57" s="440" customFormat="1" ht="15" customHeight="1" x14ac:dyDescent="0.3">
      <c r="B275" s="767">
        <v>1</v>
      </c>
      <c r="C275" s="768"/>
      <c r="D275" s="768"/>
      <c r="E275" s="768"/>
      <c r="F275" s="768"/>
      <c r="G275" s="732"/>
      <c r="H275" s="768"/>
      <c r="I275" s="768"/>
      <c r="J275" s="769"/>
      <c r="K275" s="769"/>
      <c r="L275" s="768"/>
      <c r="M275" s="770"/>
      <c r="N275" s="770"/>
      <c r="O275" s="809"/>
      <c r="P275" s="809"/>
      <c r="Q275" s="1764"/>
      <c r="R275" s="731" t="s">
        <v>362</v>
      </c>
      <c r="S275" s="731" t="s">
        <v>364</v>
      </c>
      <c r="T275" s="731" t="s">
        <v>338</v>
      </c>
      <c r="U275" s="731" t="s">
        <v>336</v>
      </c>
      <c r="V275" s="762"/>
      <c r="W275" s="937" t="str">
        <f>C276</f>
        <v>Alignment with government priorities</v>
      </c>
      <c r="X275" s="836">
        <f>M276</f>
        <v>5</v>
      </c>
      <c r="Y275" s="514"/>
      <c r="Z275" s="459">
        <v>1</v>
      </c>
      <c r="AA275" s="459" t="s">
        <v>9</v>
      </c>
      <c r="AB275" s="835">
        <f>$E$295*180/$S$197</f>
        <v>180</v>
      </c>
      <c r="AE275" s="830" t="s">
        <v>34</v>
      </c>
      <c r="AF275" s="830">
        <f>COUNTIF($G$277:$G$294,"Yes")</f>
        <v>12</v>
      </c>
      <c r="AG275" s="834">
        <f>AF275/$AF$280</f>
        <v>0.8</v>
      </c>
      <c r="AH275" s="441"/>
      <c r="BE275" s="439"/>
    </row>
    <row r="276" spans="1:57" s="440" customFormat="1" ht="15" customHeight="1" x14ac:dyDescent="0.3">
      <c r="B276" s="801">
        <f>'I.Strategic Suitability'!B29</f>
        <v>1</v>
      </c>
      <c r="C276" s="801" t="str">
        <f>SuitabilityA</f>
        <v>Alignment with government priorities</v>
      </c>
      <c r="D276" s="801">
        <f>SUM(D277:D279)</f>
        <v>3</v>
      </c>
      <c r="E276" s="802">
        <f>Admin!I5</f>
        <v>0.25</v>
      </c>
      <c r="F276" s="803"/>
      <c r="G276" s="803"/>
      <c r="H276" s="804">
        <f>COUNTA(H277:H279)</f>
        <v>3</v>
      </c>
      <c r="I276" s="804">
        <f>SUM(I277:I279)</f>
        <v>0</v>
      </c>
      <c r="J276" s="1080">
        <f>COUNTIF(J277:J279,1)/COUNT(J277:J279)</f>
        <v>0</v>
      </c>
      <c r="K276" s="804"/>
      <c r="L276" s="805"/>
      <c r="M276" s="1360">
        <f>MIN(Q276,IF(H277=1,IF(OR(AND($H$278=0.5,$H$279=0.5),AND(F278="No",F279="No")),MIN($O$276,(SUM(L277:$L$279)*$S$197)),(SUM(L277:$L$279)*$S$197)),IF(OR(AND($H$278=0.5,$H$279=0.5),AND(F278="No",F279="No")),MIN($O$277,(SUM(L277:$L$279)*$S$197)),(SUM(L277:$L$279)*$S$197))))</f>
        <v>5</v>
      </c>
      <c r="N276" s="810">
        <f>M276*E276</f>
        <v>1.25</v>
      </c>
      <c r="O276" s="810">
        <v>2.5</v>
      </c>
      <c r="P276" s="810"/>
      <c r="Q276" s="1765">
        <f>VLOOKUP(Q280,$D$147:$F$150,3)</f>
        <v>5</v>
      </c>
      <c r="R276" s="810"/>
      <c r="S276" s="810"/>
      <c r="T276" s="810"/>
      <c r="U276" s="810"/>
      <c r="V276" s="760"/>
      <c r="W276" s="937" t="str">
        <f>C281</f>
        <v>Identification of service need</v>
      </c>
      <c r="X276" s="836">
        <f>M281</f>
        <v>5</v>
      </c>
      <c r="Y276" s="514"/>
      <c r="Z276" s="459">
        <f>Z275+1</f>
        <v>2</v>
      </c>
      <c r="AA276" s="459" t="s">
        <v>10</v>
      </c>
      <c r="AB276" s="459">
        <v>1</v>
      </c>
      <c r="AE276" s="830" t="s">
        <v>39</v>
      </c>
      <c r="AF276" s="830">
        <f>COUNTIF($G$277:$G$294,"No")</f>
        <v>0</v>
      </c>
      <c r="AG276" s="834">
        <f>AF276/$AF$280</f>
        <v>0</v>
      </c>
      <c r="AH276" s="441"/>
      <c r="BE276" s="439"/>
    </row>
    <row r="277" spans="1:57" s="440" customFormat="1" ht="32.25" customHeight="1" x14ac:dyDescent="0.3">
      <c r="B277" s="789" t="s">
        <v>348</v>
      </c>
      <c r="C277" s="1372" t="str">
        <f>IF(E249=1,'0.Basic Project Data'!D18,'I.Strategic Suitability'!C33)</f>
        <v>Is the project derived from a national plan or other medium- to long-term strategic document that establishes the development priorities at the highest levels of the government?</v>
      </c>
      <c r="D277" s="779">
        <f t="shared" ref="D277:D279" si="68">IF(C277=0,0,1)</f>
        <v>1</v>
      </c>
      <c r="E277" s="807">
        <f>D11</f>
        <v>0.33329999999999999</v>
      </c>
      <c r="F277" s="775" t="str">
        <f>IF('Data Analysis'!E249=1,'0.Basic Project Data'!H18,'I.Strategic Suitability'!AA33)</f>
        <v>Yes</v>
      </c>
      <c r="G277" s="783" t="str">
        <f>VLOOKUP(F277,$B$179:$F$184,4,FALSE)</f>
        <v>Yes</v>
      </c>
      <c r="H277" s="783">
        <f>VLOOKUP(G277,$B$179:$C$184,2,FALSE)</f>
        <v>1</v>
      </c>
      <c r="I277" s="793">
        <f>IF(G277="N/A",1,0)</f>
        <v>0</v>
      </c>
      <c r="J277" s="793">
        <f>IF(G277="Skip",1,0)</f>
        <v>0</v>
      </c>
      <c r="K277" s="794">
        <f>U277</f>
        <v>0.33329999999999999</v>
      </c>
      <c r="L277" s="800">
        <f>K277*H277</f>
        <v>0.33329999999999999</v>
      </c>
      <c r="M277" s="778"/>
      <c r="N277" s="778"/>
      <c r="O277" s="778">
        <v>2</v>
      </c>
      <c r="P277" s="778"/>
      <c r="Q277" s="1767">
        <f>IF(OR(G277="Yes",G277="N/A"),0,1)</f>
        <v>0</v>
      </c>
      <c r="R277" s="819">
        <f>IF(I277=1,E277,0)</f>
        <v>0</v>
      </c>
      <c r="S277" s="819">
        <f>IF(OR(I277=1),0,E277)</f>
        <v>0.33329999999999999</v>
      </c>
      <c r="T277" s="819">
        <f>IFERROR(S277/$S$280,0)</f>
        <v>0.33329999999999999</v>
      </c>
      <c r="U277" s="819">
        <f>S277+(T277*$R$280)</f>
        <v>0.33329999999999999</v>
      </c>
      <c r="V277" s="764"/>
      <c r="W277" s="937" t="str">
        <f>C286</f>
        <v>Assessment of service delivery options</v>
      </c>
      <c r="X277" s="836">
        <f>M286</f>
        <v>5</v>
      </c>
      <c r="Y277" s="514"/>
      <c r="Z277" s="459">
        <f>Z276+1</f>
        <v>3</v>
      </c>
      <c r="AA277" s="459" t="s">
        <v>11</v>
      </c>
      <c r="AB277" s="459">
        <f>360-AB275-AB276</f>
        <v>179</v>
      </c>
      <c r="AE277" s="830" t="s">
        <v>61</v>
      </c>
      <c r="AF277" s="830">
        <f>COUNTIF($G$277:$G$294,"Skip")</f>
        <v>0</v>
      </c>
      <c r="AG277" s="834">
        <f>AF277/$AF$280</f>
        <v>0</v>
      </c>
      <c r="AH277" s="441"/>
      <c r="BE277" s="439"/>
    </row>
    <row r="278" spans="1:57" s="440" customFormat="1" ht="28.8" x14ac:dyDescent="0.3">
      <c r="B278" s="771" t="str">
        <f>'I.Strategic Suitability'!B30</f>
        <v>(i)</v>
      </c>
      <c r="C278" s="779" t="str">
        <f>'I.Strategic Suitability'!C30:Z30</f>
        <v>Does the project have high strategic importance for the region and could it enable significant private sector investments in the economic development of the region?</v>
      </c>
      <c r="D278" s="779">
        <f t="shared" si="68"/>
        <v>1</v>
      </c>
      <c r="E278" s="807">
        <f>D12</f>
        <v>0.33329999999999999</v>
      </c>
      <c r="F278" s="776" t="str">
        <f>IF(C278=0,"N/A",'I.Strategic Suitability'!AA30)</f>
        <v>Yes</v>
      </c>
      <c r="G278" s="783" t="str">
        <f>VLOOKUP(F278,$B$179:$F$184,4,FALSE)</f>
        <v>Yes</v>
      </c>
      <c r="H278" s="783">
        <f>VLOOKUP(G278,$B$179:$C$184,2,FALSE)</f>
        <v>1</v>
      </c>
      <c r="I278" s="793">
        <f t="shared" ref="I278:I279" si="69">IF(G278="N/A",1,0)</f>
        <v>0</v>
      </c>
      <c r="J278" s="793">
        <f t="shared" ref="J278:J279" si="70">IF(G278="Skip",1,0)</f>
        <v>0</v>
      </c>
      <c r="K278" s="794">
        <f>U278</f>
        <v>0.33329999999999999</v>
      </c>
      <c r="L278" s="800">
        <f>K278*H278</f>
        <v>0.33329999999999999</v>
      </c>
      <c r="M278" s="778"/>
      <c r="N278" s="778"/>
      <c r="O278" s="778">
        <v>2</v>
      </c>
      <c r="P278" s="778" t="s">
        <v>434</v>
      </c>
      <c r="Q278" s="1767">
        <f t="shared" ref="Q278:Q279" si="71">IF(OR(G278="Yes",G278="N/A"),0,1)</f>
        <v>0</v>
      </c>
      <c r="R278" s="819">
        <f>IF(I278=1,E278,0)</f>
        <v>0</v>
      </c>
      <c r="S278" s="819">
        <f>IF(OR(I278=1),0,E278)</f>
        <v>0.33329999999999999</v>
      </c>
      <c r="T278" s="819">
        <f>IFERROR(S278/$S$280,0)</f>
        <v>0.33329999999999999</v>
      </c>
      <c r="U278" s="819">
        <f>S278+(T278*$R$280)</f>
        <v>0.33329999999999999</v>
      </c>
      <c r="V278" s="764"/>
      <c r="W278" s="937" t="str">
        <f>C290</f>
        <v>Scoping of the project</v>
      </c>
      <c r="X278" s="836">
        <f>M290</f>
        <v>5</v>
      </c>
      <c r="Y278" s="514"/>
      <c r="Z278" s="514"/>
      <c r="AA278" s="514"/>
      <c r="AB278" s="441"/>
      <c r="AC278" s="441"/>
      <c r="AE278" s="831" t="s">
        <v>160</v>
      </c>
      <c r="AF278" s="830">
        <f>COUNTIF($G$277:$G$294,"N/A")</f>
        <v>0</v>
      </c>
      <c r="AG278" s="834">
        <f>AF278/$AF$280</f>
        <v>0</v>
      </c>
      <c r="AH278" s="441"/>
      <c r="BE278" s="439"/>
    </row>
    <row r="279" spans="1:57" s="440" customFormat="1" ht="15" customHeight="1" x14ac:dyDescent="0.3">
      <c r="B279" s="771" t="str">
        <f>'I.Strategic Suitability'!B31</f>
        <v>(ii)</v>
      </c>
      <c r="C279" s="779" t="str">
        <f>'I.Strategic Suitability'!C31:Z31</f>
        <v>Will the project lead to an improvement in the quality of life of the citizens? For example, by way of reduced cost of living or improved liveability for the citizens.</v>
      </c>
      <c r="D279" s="779">
        <f t="shared" si="68"/>
        <v>1</v>
      </c>
      <c r="E279" s="807">
        <f>D13</f>
        <v>0.33339999999999997</v>
      </c>
      <c r="F279" s="776" t="str">
        <f>IF(C279=0,"N/A",'I.Strategic Suitability'!AA31)</f>
        <v>Yes</v>
      </c>
      <c r="G279" s="783" t="str">
        <f>VLOOKUP(F279,$B$179:$F$184,4,FALSE)</f>
        <v>Yes</v>
      </c>
      <c r="H279" s="783">
        <f>VLOOKUP(G279,$B$179:$C$184,2,FALSE)</f>
        <v>1</v>
      </c>
      <c r="I279" s="793">
        <f t="shared" si="69"/>
        <v>0</v>
      </c>
      <c r="J279" s="793">
        <f t="shared" si="70"/>
        <v>0</v>
      </c>
      <c r="K279" s="794">
        <f>U279</f>
        <v>0.33339999999999997</v>
      </c>
      <c r="L279" s="800">
        <f>K279*H279</f>
        <v>0.33339999999999997</v>
      </c>
      <c r="M279" s="778"/>
      <c r="N279" s="778"/>
      <c r="O279" s="1060">
        <v>0.6</v>
      </c>
      <c r="P279" s="778"/>
      <c r="Q279" s="1767">
        <f t="shared" si="71"/>
        <v>0</v>
      </c>
      <c r="R279" s="819">
        <f>IF(I279=1,E279,0)</f>
        <v>0</v>
      </c>
      <c r="S279" s="819">
        <f>IF(OR(I279=1),0,E279)</f>
        <v>0.33339999999999997</v>
      </c>
      <c r="T279" s="819">
        <f>IFERROR(S279/$S$280,0)</f>
        <v>0.33339999999999997</v>
      </c>
      <c r="U279" s="819">
        <f>S279+(T279*$R$280)</f>
        <v>0.33339999999999997</v>
      </c>
      <c r="V279" s="764"/>
      <c r="Y279" s="441"/>
      <c r="Z279" s="441"/>
      <c r="AA279" s="441"/>
      <c r="AB279" s="441"/>
      <c r="AC279" s="441"/>
      <c r="AE279" s="831" t="s">
        <v>79</v>
      </c>
      <c r="AF279" s="830">
        <f>COUNTIF($G$277:$G$294,"Uncertain")</f>
        <v>0</v>
      </c>
      <c r="AG279" s="834">
        <f>AF279/$AF$280</f>
        <v>0</v>
      </c>
      <c r="AH279" s="441"/>
      <c r="BE279" s="439"/>
    </row>
    <row r="280" spans="1:57" s="440" customFormat="1" ht="15" customHeight="1" x14ac:dyDescent="0.3">
      <c r="B280" s="771"/>
      <c r="C280" s="782"/>
      <c r="D280" s="782"/>
      <c r="E280" s="786"/>
      <c r="F280" s="772"/>
      <c r="G280" s="772"/>
      <c r="H280" s="795"/>
      <c r="I280" s="795"/>
      <c r="J280" s="795"/>
      <c r="K280" s="772"/>
      <c r="L280" s="799"/>
      <c r="M280" s="773"/>
      <c r="N280" s="811"/>
      <c r="O280" s="811"/>
      <c r="P280" s="811"/>
      <c r="Q280" s="1766">
        <f>SUM(Q277:Q279)/(H276-I276)</f>
        <v>0</v>
      </c>
      <c r="R280" s="818">
        <f>SUM(R277:R279)</f>
        <v>0</v>
      </c>
      <c r="S280" s="818">
        <f>SUM(S277:S279)</f>
        <v>1</v>
      </c>
      <c r="T280" s="818">
        <f>SUM(T277:T279)</f>
        <v>1</v>
      </c>
      <c r="U280" s="818">
        <f>SUM(U277:U279)</f>
        <v>1</v>
      </c>
      <c r="V280" s="761"/>
      <c r="AE280" s="831" t="s">
        <v>220</v>
      </c>
      <c r="AF280" s="832">
        <f>COUNT(H277:H294)</f>
        <v>15</v>
      </c>
      <c r="AG280" s="780"/>
      <c r="AH280" s="441"/>
      <c r="BE280" s="439"/>
    </row>
    <row r="281" spans="1:57" s="440" customFormat="1" ht="15" customHeight="1" x14ac:dyDescent="0.3">
      <c r="B281" s="801">
        <f>'I.Strategic Suitability'!B35</f>
        <v>2</v>
      </c>
      <c r="C281" s="801" t="str">
        <f>'I.Strategic Suitability'!C35</f>
        <v>Identification of service need</v>
      </c>
      <c r="D281" s="801">
        <f>SUM(D282:D284)</f>
        <v>3</v>
      </c>
      <c r="E281" s="802">
        <f>Admin!I6</f>
        <v>0.25</v>
      </c>
      <c r="F281" s="803"/>
      <c r="G281" s="803"/>
      <c r="H281" s="804">
        <f>COUNTA(H282:H284)</f>
        <v>3</v>
      </c>
      <c r="I281" s="804">
        <f>SUM(I282:I284)</f>
        <v>0</v>
      </c>
      <c r="J281" s="1080">
        <f>COUNTIF(J282:J284,1)/COUNT(J282:J284)</f>
        <v>0</v>
      </c>
      <c r="K281" s="804"/>
      <c r="L281" s="805"/>
      <c r="M281" s="1360">
        <f>MIN(Q281,IF(G253=1,MIN($AA$249,IF(OR(OR(F282="No",H282=0.5),AND(H283=0.5,H284=0.5),OR(F283="No",F284="No")),MIN($O$281,SUM(L$282:$L284)*$S$197),SUM(L$282:$L284)*$S$197)),IF(OR(OR(F282="No",H282=0.5),AND(H283=0.5,H284=0.5),OR(F283="No",F284="No")),MIN($O$281,SUM(L$282:$L284)*$S$197),SUM(L$282:$L284)*$S$197)))</f>
        <v>5</v>
      </c>
      <c r="N281" s="810">
        <f>M281*E281</f>
        <v>1.25</v>
      </c>
      <c r="O281" s="810">
        <v>2</v>
      </c>
      <c r="P281" s="810"/>
      <c r="Q281" s="1765">
        <f>VLOOKUP(Q285,$D$147:$F$150,3)</f>
        <v>5</v>
      </c>
      <c r="R281" s="820"/>
      <c r="S281" s="820"/>
      <c r="T281" s="820"/>
      <c r="U281" s="820"/>
      <c r="V281" s="761"/>
      <c r="AF281" s="441"/>
      <c r="AG281" s="441"/>
      <c r="AH281" s="441"/>
      <c r="BE281" s="439"/>
    </row>
    <row r="282" spans="1:57" s="440" customFormat="1" ht="15" customHeight="1" x14ac:dyDescent="0.3">
      <c r="B282" s="771" t="str">
        <f>'I.Strategic Suitability'!B36</f>
        <v>(i)</v>
      </c>
      <c r="C282" s="1030" t="str">
        <f>'I.Strategic Suitability'!C36</f>
        <v>Is there clear articulation and substantiation of the service deficiency?</v>
      </c>
      <c r="D282" s="1030">
        <f t="shared" ref="D282:D284" si="72">IF(C282=0,0,1)</f>
        <v>1</v>
      </c>
      <c r="E282" s="807">
        <f>D14</f>
        <v>0.5</v>
      </c>
      <c r="F282" s="776" t="str">
        <f>IF(C282=0,"N/A",'I.Strategic Suitability'!AA36)</f>
        <v>Yes</v>
      </c>
      <c r="G282" s="783" t="str">
        <f t="shared" ref="G282:G284" si="73">VLOOKUP(F282,$B$179:$F$184,4,FALSE)</f>
        <v>Yes</v>
      </c>
      <c r="H282" s="783">
        <f>VLOOKUP(G282,$B$179:$C$184,2,FALSE)</f>
        <v>1</v>
      </c>
      <c r="I282" s="793">
        <f t="shared" ref="I282:I284" si="74">IF(G282="N/A",1,0)</f>
        <v>0</v>
      </c>
      <c r="J282" s="793">
        <f t="shared" ref="J282:J284" si="75">IF(G282="Skip",1,0)</f>
        <v>0</v>
      </c>
      <c r="K282" s="794">
        <f>U282</f>
        <v>0.5</v>
      </c>
      <c r="L282" s="800">
        <f>K282*H282</f>
        <v>0.5</v>
      </c>
      <c r="M282" s="778"/>
      <c r="N282" s="778"/>
      <c r="O282" s="778"/>
      <c r="P282" s="778"/>
      <c r="Q282" s="1767">
        <f>IF(OR(G282="Yes",G282="N/A"),0,1)</f>
        <v>0</v>
      </c>
      <c r="R282" s="819">
        <f>IF(I282=1,E282,0)</f>
        <v>0</v>
      </c>
      <c r="S282" s="819">
        <f>IF(OR(I282=1),0,E282)</f>
        <v>0.5</v>
      </c>
      <c r="T282" s="819">
        <f>IFERROR(S282/$S$285,0)</f>
        <v>0.5</v>
      </c>
      <c r="U282" s="819">
        <f>S282+(T282*$R$285)</f>
        <v>0.5</v>
      </c>
      <c r="V282" s="764"/>
      <c r="AF282" s="441"/>
      <c r="AG282" s="441"/>
      <c r="AH282" s="441"/>
      <c r="BE282" s="439"/>
    </row>
    <row r="283" spans="1:57" s="440" customFormat="1" ht="15" customHeight="1" x14ac:dyDescent="0.3">
      <c r="B283" s="771" t="str">
        <f>'I.Strategic Suitability'!B37</f>
        <v>(ii)</v>
      </c>
      <c r="C283" s="790" t="str">
        <f>'I.Strategic Suitability'!C37</f>
        <v>Is the desired service outcome well defined and can it be used to scope out the project?</v>
      </c>
      <c r="D283" s="790">
        <f t="shared" si="72"/>
        <v>1</v>
      </c>
      <c r="E283" s="807">
        <f>D15</f>
        <v>0.25</v>
      </c>
      <c r="F283" s="776" t="str">
        <f>IF(C283=0,"N/A",'I.Strategic Suitability'!AA37)</f>
        <v>Yes</v>
      </c>
      <c r="G283" s="783" t="str">
        <f t="shared" si="73"/>
        <v>Yes</v>
      </c>
      <c r="H283" s="783">
        <f>VLOOKUP(G283,$B$179:$C$184,2,FALSE)</f>
        <v>1</v>
      </c>
      <c r="I283" s="793">
        <f t="shared" si="74"/>
        <v>0</v>
      </c>
      <c r="J283" s="793">
        <f t="shared" si="75"/>
        <v>0</v>
      </c>
      <c r="K283" s="794">
        <f>U283</f>
        <v>0.25</v>
      </c>
      <c r="L283" s="800">
        <f>K283*H283</f>
        <v>0.25</v>
      </c>
      <c r="M283" s="778"/>
      <c r="N283" s="778"/>
      <c r="O283" s="778"/>
      <c r="P283" s="778"/>
      <c r="Q283" s="1767">
        <f t="shared" ref="Q283:Q284" si="76">IF(OR(G283="Yes",G283="N/A"),0,1)</f>
        <v>0</v>
      </c>
      <c r="R283" s="819">
        <f>IF(I283=1,E283,0)</f>
        <v>0</v>
      </c>
      <c r="S283" s="819">
        <f>IF(OR(I283=1),0,E283)</f>
        <v>0.25</v>
      </c>
      <c r="T283" s="819">
        <f>IFERROR(S283/$S$285,0)</f>
        <v>0.25</v>
      </c>
      <c r="U283" s="819">
        <f>S283+(T283*$R$285)</f>
        <v>0.25</v>
      </c>
      <c r="V283" s="764"/>
      <c r="AF283" s="441"/>
      <c r="AG283" s="441"/>
      <c r="AH283" s="441"/>
      <c r="BE283" s="439"/>
    </row>
    <row r="284" spans="1:57" s="440" customFormat="1" ht="15" customHeight="1" x14ac:dyDescent="0.3">
      <c r="B284" s="771" t="str">
        <f>'I.Strategic Suitability'!B38</f>
        <v>(iii)</v>
      </c>
      <c r="C284" s="790" t="str">
        <f>'I.Strategic Suitability'!C38</f>
        <v>Is there a consensus on users’ and stakeholders’ expectations from the project?</v>
      </c>
      <c r="D284" s="790">
        <f t="shared" si="72"/>
        <v>1</v>
      </c>
      <c r="E284" s="807">
        <f>D16</f>
        <v>0.25</v>
      </c>
      <c r="F284" s="776" t="str">
        <f>IF(C284=0,"N/A",'I.Strategic Suitability'!AA38)</f>
        <v>Yes</v>
      </c>
      <c r="G284" s="783" t="str">
        <f t="shared" si="73"/>
        <v>Yes</v>
      </c>
      <c r="H284" s="783">
        <f>VLOOKUP(G284,$B$179:$C$184,2,FALSE)</f>
        <v>1</v>
      </c>
      <c r="I284" s="793">
        <f t="shared" si="74"/>
        <v>0</v>
      </c>
      <c r="J284" s="793">
        <f t="shared" si="75"/>
        <v>0</v>
      </c>
      <c r="K284" s="794">
        <f>U284</f>
        <v>0.25</v>
      </c>
      <c r="L284" s="800">
        <f>K284*H284</f>
        <v>0.25</v>
      </c>
      <c r="M284" s="778"/>
      <c r="N284" s="778"/>
      <c r="O284" s="778"/>
      <c r="P284" s="778"/>
      <c r="Q284" s="1767">
        <f t="shared" si="76"/>
        <v>0</v>
      </c>
      <c r="R284" s="819">
        <f>IF(I284=1,E284,0)</f>
        <v>0</v>
      </c>
      <c r="S284" s="819">
        <f>IF(OR(I284=1),0,E284)</f>
        <v>0.25</v>
      </c>
      <c r="T284" s="819">
        <f>IFERROR(S284/$S$285,0)</f>
        <v>0.25</v>
      </c>
      <c r="U284" s="819">
        <f>S284+(T284*$R$285)</f>
        <v>0.25</v>
      </c>
      <c r="V284" s="764"/>
      <c r="AF284" s="441"/>
      <c r="AG284" s="441"/>
      <c r="AH284" s="441"/>
      <c r="BE284" s="439"/>
    </row>
    <row r="285" spans="1:57" s="440" customFormat="1" ht="15" customHeight="1" x14ac:dyDescent="0.3">
      <c r="B285" s="771"/>
      <c r="C285" s="784"/>
      <c r="D285" s="784"/>
      <c r="E285" s="787"/>
      <c r="F285" s="778"/>
      <c r="G285" s="778"/>
      <c r="H285" s="796"/>
      <c r="I285" s="796"/>
      <c r="J285" s="796"/>
      <c r="K285" s="778"/>
      <c r="L285" s="799"/>
      <c r="M285" s="773"/>
      <c r="N285" s="811"/>
      <c r="O285" s="811"/>
      <c r="P285" s="811"/>
      <c r="Q285" s="1766">
        <f>SUM(Q282:Q284)/(H281-I281)</f>
        <v>0</v>
      </c>
      <c r="R285" s="818">
        <f>SUM(R282:R284)</f>
        <v>0</v>
      </c>
      <c r="S285" s="818">
        <f>SUM(S282:S284)</f>
        <v>1</v>
      </c>
      <c r="T285" s="818">
        <f>SUM(T282:T284)</f>
        <v>1</v>
      </c>
      <c r="U285" s="818">
        <f>SUM(U282:U284)</f>
        <v>1</v>
      </c>
      <c r="V285" s="763"/>
      <c r="AF285" s="441"/>
      <c r="AG285" s="441"/>
      <c r="AH285" s="441"/>
      <c r="BE285" s="439"/>
    </row>
    <row r="286" spans="1:57" s="440" customFormat="1" ht="15" customHeight="1" x14ac:dyDescent="0.3">
      <c r="B286" s="801">
        <f>'I.Strategic Suitability'!B40</f>
        <v>3</v>
      </c>
      <c r="C286" s="801" t="str">
        <f>'I.Strategic Suitability'!C40</f>
        <v>Assessment of service delivery options</v>
      </c>
      <c r="D286" s="801">
        <f>SUM(D287:D288)</f>
        <v>2</v>
      </c>
      <c r="E286" s="802">
        <f>Admin!I7</f>
        <v>0.25</v>
      </c>
      <c r="F286" s="803"/>
      <c r="G286" s="803"/>
      <c r="H286" s="804">
        <f>COUNTA(H287:H288)</f>
        <v>2</v>
      </c>
      <c r="I286" s="804">
        <f>SUM(I287:I288)</f>
        <v>0</v>
      </c>
      <c r="J286" s="1080">
        <f>COUNTIF(J287:J288,1)/COUNT(J287:J288)</f>
        <v>0</v>
      </c>
      <c r="K286" s="804"/>
      <c r="L286" s="805"/>
      <c r="M286" s="1360">
        <f>MIN(Q286,IF(G254=1,MIN($AA$250,IF(OR(AND(H287&gt;=0.5,F288="No"),AND(H287&gt;=0.5,H288=0.5)),MIN($O$286,SUM(L$287:$L288)*$S$197),SUM(L$287:$L288)*$S$197)),IF(OR(AND(H287&gt;=0.5,F288="No"),AND(H287&gt;=0.5,H288=0.5)),MIN($O$286,SUM(L$287:$L288)*$S$197),SUM(L$287:$L288)*$S$197)))</f>
        <v>5</v>
      </c>
      <c r="N286" s="810">
        <f>M286*E286</f>
        <v>1.25</v>
      </c>
      <c r="O286" s="810">
        <v>2</v>
      </c>
      <c r="P286" s="810"/>
      <c r="Q286" s="1765">
        <f>VLOOKUP(Q289,$D$147:$F$150,3)</f>
        <v>5</v>
      </c>
      <c r="R286" s="820"/>
      <c r="S286" s="820"/>
      <c r="T286" s="820"/>
      <c r="U286" s="820"/>
      <c r="V286" s="763"/>
      <c r="AF286" s="441"/>
      <c r="AG286" s="441"/>
      <c r="AH286" s="441"/>
      <c r="BE286" s="439"/>
    </row>
    <row r="287" spans="1:57" s="440" customFormat="1" ht="15" customHeight="1" x14ac:dyDescent="0.3">
      <c r="B287" s="771" t="str">
        <f>'I.Strategic Suitability'!B41</f>
        <v>(i)</v>
      </c>
      <c r="C287" s="1030" t="str">
        <f>'I.Strategic Suitability'!C41</f>
        <v>Has there been an assessment of all possible technical solutions to address the identified need?</v>
      </c>
      <c r="D287" s="1030">
        <f t="shared" ref="D287:D288" si="77">IF(C287=0,0,1)</f>
        <v>1</v>
      </c>
      <c r="E287" s="808">
        <f>D17</f>
        <v>0.7</v>
      </c>
      <c r="F287" s="776" t="str">
        <f>IF(C287=0,"N/A",'I.Strategic Suitability'!AA41)</f>
        <v>Yes</v>
      </c>
      <c r="G287" s="783" t="str">
        <f t="shared" ref="G287:G288" si="78">VLOOKUP(F287,$B$179:$F$184,4,FALSE)</f>
        <v>Yes</v>
      </c>
      <c r="H287" s="783">
        <f>VLOOKUP(G287,$B$179:$C$184,2,FALSE)</f>
        <v>1</v>
      </c>
      <c r="I287" s="793">
        <f t="shared" ref="I287:I288" si="79">IF(G287="N/A",1,0)</f>
        <v>0</v>
      </c>
      <c r="J287" s="793">
        <f t="shared" ref="J287:J288" si="80">IF(G287="Skip",1,0)</f>
        <v>0</v>
      </c>
      <c r="K287" s="794">
        <f>U287</f>
        <v>0.7</v>
      </c>
      <c r="L287" s="800">
        <f>K287*H287</f>
        <v>0.7</v>
      </c>
      <c r="M287" s="778"/>
      <c r="N287" s="778"/>
      <c r="O287" s="778"/>
      <c r="P287" s="778"/>
      <c r="Q287" s="1767">
        <f>IF(OR(G287="Yes",G287="N/A"),0,1)</f>
        <v>0</v>
      </c>
      <c r="R287" s="819">
        <f>IF(I287=1,E287,0)</f>
        <v>0</v>
      </c>
      <c r="S287" s="819">
        <f>IF(OR(I287=1),0,E287)</f>
        <v>0.7</v>
      </c>
      <c r="T287" s="819">
        <f>IFERROR(S287/$S$289,0)</f>
        <v>0.7</v>
      </c>
      <c r="U287" s="819">
        <f>S287+(T287*$R$289)</f>
        <v>0.7</v>
      </c>
      <c r="V287" s="764"/>
      <c r="AF287" s="441"/>
      <c r="AG287" s="441"/>
      <c r="AH287" s="441"/>
      <c r="BE287" s="439"/>
    </row>
    <row r="288" spans="1:57" s="440" customFormat="1" ht="15" customHeight="1" x14ac:dyDescent="0.3">
      <c r="B288" s="771" t="str">
        <f>'I.Strategic Suitability'!B42</f>
        <v>(ii)</v>
      </c>
      <c r="C288" s="1081" t="str">
        <f>'I.Strategic Suitability'!C42</f>
        <v>Does the technical solution clearly address the service need in a cost-effective and affordable manner?</v>
      </c>
      <c r="D288" s="1081">
        <f t="shared" si="77"/>
        <v>1</v>
      </c>
      <c r="E288" s="808">
        <f>D18</f>
        <v>0.3</v>
      </c>
      <c r="F288" s="776" t="str">
        <f>IF(C288=0,"N/A",'I.Strategic Suitability'!AA42)</f>
        <v>Yes</v>
      </c>
      <c r="G288" s="783" t="str">
        <f t="shared" si="78"/>
        <v>Yes</v>
      </c>
      <c r="H288" s="783">
        <f>VLOOKUP(G288,$B$179:$C$184,2,FALSE)</f>
        <v>1</v>
      </c>
      <c r="I288" s="793">
        <f t="shared" si="79"/>
        <v>0</v>
      </c>
      <c r="J288" s="793">
        <f t="shared" si="80"/>
        <v>0</v>
      </c>
      <c r="K288" s="794">
        <f>U288</f>
        <v>0.3</v>
      </c>
      <c r="L288" s="800">
        <f>K288*H288</f>
        <v>0.3</v>
      </c>
      <c r="M288" s="778"/>
      <c r="N288" s="778"/>
      <c r="O288" s="778"/>
      <c r="P288" s="778"/>
      <c r="Q288" s="1767">
        <f t="shared" ref="Q288" si="81">IF(OR(G288="Yes",G288="N/A"),0,1)</f>
        <v>0</v>
      </c>
      <c r="R288" s="819">
        <f>IF(I288=1,E288,0)</f>
        <v>0</v>
      </c>
      <c r="S288" s="819">
        <f>IF(OR(I288=1),0,E288)</f>
        <v>0.3</v>
      </c>
      <c r="T288" s="819">
        <f>IFERROR(S288/$S$289,0)</f>
        <v>0.3</v>
      </c>
      <c r="U288" s="819">
        <f>S288+(T288*$R$289)</f>
        <v>0.3</v>
      </c>
      <c r="V288" s="764"/>
      <c r="AF288" s="441"/>
      <c r="AG288" s="441"/>
      <c r="AH288" s="441"/>
      <c r="BE288" s="439"/>
    </row>
    <row r="289" spans="1:57" s="440" customFormat="1" ht="15" customHeight="1" x14ac:dyDescent="0.3">
      <c r="B289" s="771"/>
      <c r="C289" s="785"/>
      <c r="D289" s="785"/>
      <c r="E289" s="788"/>
      <c r="F289" s="781"/>
      <c r="G289" s="781"/>
      <c r="H289" s="797"/>
      <c r="I289" s="797"/>
      <c r="J289" s="798"/>
      <c r="K289" s="781"/>
      <c r="L289" s="799"/>
      <c r="M289" s="773"/>
      <c r="N289" s="811"/>
      <c r="O289" s="811"/>
      <c r="P289" s="811"/>
      <c r="Q289" s="1766">
        <f>SUM(Q287:Q288)/(H286-I286)</f>
        <v>0</v>
      </c>
      <c r="R289" s="818">
        <f>SUM(R287:R288)</f>
        <v>0</v>
      </c>
      <c r="S289" s="818">
        <f>SUM(S287:S288)</f>
        <v>1</v>
      </c>
      <c r="T289" s="818">
        <f>SUM(T287:T288)</f>
        <v>1</v>
      </c>
      <c r="U289" s="818">
        <f>SUM(U287:U288)</f>
        <v>1</v>
      </c>
      <c r="V289" s="765"/>
      <c r="AF289" s="441"/>
      <c r="AG289" s="441"/>
      <c r="AH289" s="441"/>
      <c r="BE289" s="439"/>
    </row>
    <row r="290" spans="1:57" s="440" customFormat="1" ht="15" customHeight="1" x14ac:dyDescent="0.3">
      <c r="B290" s="801">
        <f>'I.Strategic Suitability'!B44</f>
        <v>4</v>
      </c>
      <c r="C290" s="801" t="str">
        <f>'I.Strategic Suitability'!C44</f>
        <v>Scoping of the project</v>
      </c>
      <c r="D290" s="801">
        <f>SUM(D291:D294)</f>
        <v>4</v>
      </c>
      <c r="E290" s="802">
        <f>Admin!I8</f>
        <v>0.25</v>
      </c>
      <c r="F290" s="803"/>
      <c r="G290" s="803"/>
      <c r="H290" s="804">
        <f>COUNTA(H291:H294)</f>
        <v>4</v>
      </c>
      <c r="I290" s="804">
        <f>SUM(I291:I294)</f>
        <v>0</v>
      </c>
      <c r="J290" s="1080">
        <f>COUNTIF(J291:J294,1)/COUNT(J291:J294)</f>
        <v>0</v>
      </c>
      <c r="K290" s="804"/>
      <c r="L290" s="805"/>
      <c r="M290" s="1360">
        <f>MIN(Q290,IF(OR(COUNTIF(F291:F294,"No")&gt;=2,COUNTIF(H291:H294,0.5)&gt;=2, (COUNTIF(F291:F294,"Skip")+COUNTIF(F291:F294,"Uncertain")&gt;=2)),MIN($O$290,SUM(L$290:$L294)*$S$197),SUM(L$290:$L294)*$S$197))</f>
        <v>5</v>
      </c>
      <c r="N290" s="810">
        <f>M290*E290</f>
        <v>1.25</v>
      </c>
      <c r="O290" s="810">
        <v>2</v>
      </c>
      <c r="P290" s="810"/>
      <c r="Q290" s="1765">
        <f>VLOOKUP(Q295,$D$147:$F$150,3)</f>
        <v>5</v>
      </c>
      <c r="R290" s="820"/>
      <c r="S290" s="820"/>
      <c r="T290" s="820"/>
      <c r="U290" s="820"/>
      <c r="V290" s="765"/>
      <c r="AF290" s="441"/>
      <c r="AG290" s="441"/>
      <c r="AH290" s="441"/>
      <c r="BE290" s="439"/>
    </row>
    <row r="291" spans="1:57" s="440" customFormat="1" ht="15" customHeight="1" x14ac:dyDescent="0.3">
      <c r="B291" s="771" t="str">
        <f>'I.Strategic Suitability'!B45</f>
        <v>(i)</v>
      </c>
      <c r="C291" s="790" t="str">
        <f>'I.Strategic Suitability'!C45</f>
        <v>Is there a clear description of the technical features of the project?</v>
      </c>
      <c r="D291" s="790">
        <f>IF(C291=0,0,1)</f>
        <v>1</v>
      </c>
      <c r="E291" s="808">
        <f>D19</f>
        <v>0.25</v>
      </c>
      <c r="F291" s="776" t="str">
        <f>IF(C291=0,"N/A",'I.Strategic Suitability'!AA45)</f>
        <v>Yes</v>
      </c>
      <c r="G291" s="783" t="str">
        <f t="shared" ref="G291:G294" si="82">VLOOKUP(F291,$B$179:$F$184,4,FALSE)</f>
        <v>Yes</v>
      </c>
      <c r="H291" s="783">
        <f>VLOOKUP(G291,$B$179:$C$184,2,FALSE)</f>
        <v>1</v>
      </c>
      <c r="I291" s="793">
        <f t="shared" ref="I291:I294" si="83">IF(G291="N/A",1,0)</f>
        <v>0</v>
      </c>
      <c r="J291" s="793">
        <f t="shared" ref="J291:J294" si="84">IF(G291="Skip",1,0)</f>
        <v>0</v>
      </c>
      <c r="K291" s="794">
        <f>U291</f>
        <v>0.25</v>
      </c>
      <c r="L291" s="800">
        <f>K291*H291</f>
        <v>0.25</v>
      </c>
      <c r="M291" s="778"/>
      <c r="N291" s="778"/>
      <c r="O291" s="778"/>
      <c r="P291" s="778"/>
      <c r="Q291" s="1767">
        <f>IF(OR(G291="Yes",G291="N/A"),0,1)</f>
        <v>0</v>
      </c>
      <c r="R291" s="819">
        <f>IF(I291=1,E291,0)</f>
        <v>0</v>
      </c>
      <c r="S291" s="819">
        <f>IF(OR(I291=1),0,E291)</f>
        <v>0.25</v>
      </c>
      <c r="T291" s="819">
        <f>IFERROR(S291/$S$295,0)</f>
        <v>0.25</v>
      </c>
      <c r="U291" s="819">
        <f>S291+(T291*$R$295)</f>
        <v>0.25</v>
      </c>
      <c r="V291" s="766"/>
      <c r="AF291" s="441"/>
      <c r="AG291" s="441"/>
      <c r="AH291" s="441"/>
      <c r="BE291" s="439"/>
    </row>
    <row r="292" spans="1:57" s="440" customFormat="1" ht="15" customHeight="1" x14ac:dyDescent="0.3">
      <c r="B292" s="771" t="str">
        <f>'I.Strategic Suitability'!B46</f>
        <v>(ii)</v>
      </c>
      <c r="C292" s="790" t="str">
        <f>'I.Strategic Suitability'!C46</f>
        <v>Is the user base identified for the project in terms of users, geography, growth trends, etc.?</v>
      </c>
      <c r="D292" s="790">
        <f>IF(C292=0,0,1)</f>
        <v>1</v>
      </c>
      <c r="E292" s="808">
        <f>D20</f>
        <v>0.25</v>
      </c>
      <c r="F292" s="776" t="str">
        <f>IF(C292=0,"N/A",'I.Strategic Suitability'!AA46)</f>
        <v>Yes</v>
      </c>
      <c r="G292" s="783" t="str">
        <f t="shared" si="82"/>
        <v>Yes</v>
      </c>
      <c r="H292" s="783">
        <f>VLOOKUP(G292,$B$179:$C$184,2,FALSE)</f>
        <v>1</v>
      </c>
      <c r="I292" s="793">
        <f t="shared" si="83"/>
        <v>0</v>
      </c>
      <c r="J292" s="793">
        <f t="shared" si="84"/>
        <v>0</v>
      </c>
      <c r="K292" s="794">
        <f>U292</f>
        <v>0.25</v>
      </c>
      <c r="L292" s="800">
        <f>K292*H292</f>
        <v>0.25</v>
      </c>
      <c r="M292" s="778"/>
      <c r="N292" s="778"/>
      <c r="O292" s="778"/>
      <c r="P292" s="778"/>
      <c r="Q292" s="1767">
        <f t="shared" ref="Q292:Q294" si="85">IF(OR(G292="Yes",G292="N/A"),0,1)</f>
        <v>0</v>
      </c>
      <c r="R292" s="819">
        <f>IF(I292=1,E292,0)</f>
        <v>0</v>
      </c>
      <c r="S292" s="819">
        <f>IF(OR(I292=1),0,E292)</f>
        <v>0.25</v>
      </c>
      <c r="T292" s="819">
        <f>IFERROR(S292/$S$295,0)</f>
        <v>0.25</v>
      </c>
      <c r="U292" s="819">
        <f>S292+(T292*$R$295)</f>
        <v>0.25</v>
      </c>
      <c r="V292" s="766"/>
      <c r="AF292" s="441"/>
      <c r="AG292" s="441"/>
      <c r="AH292" s="441"/>
      <c r="BE292" s="439"/>
    </row>
    <row r="293" spans="1:57" s="440" customFormat="1" ht="15" customHeight="1" x14ac:dyDescent="0.3">
      <c r="B293" s="771" t="str">
        <f>'I.Strategic Suitability'!B47</f>
        <v>(iii)</v>
      </c>
      <c r="C293" s="790" t="str">
        <f>'I.Strategic Suitability'!C47</f>
        <v>Are the project outputs defined, measurable and verifiable?</v>
      </c>
      <c r="D293" s="790">
        <f>IF(C293=0,0,1)</f>
        <v>1</v>
      </c>
      <c r="E293" s="808">
        <f>D21</f>
        <v>0.25</v>
      </c>
      <c r="F293" s="776" t="str">
        <f>IF(C293=0,"N/A",'I.Strategic Suitability'!AA47)</f>
        <v>Yes</v>
      </c>
      <c r="G293" s="783" t="str">
        <f t="shared" si="82"/>
        <v>Yes</v>
      </c>
      <c r="H293" s="783">
        <f>VLOOKUP(G293,$B$179:$C$184,2,FALSE)</f>
        <v>1</v>
      </c>
      <c r="I293" s="793">
        <f t="shared" si="83"/>
        <v>0</v>
      </c>
      <c r="J293" s="793">
        <f t="shared" si="84"/>
        <v>0</v>
      </c>
      <c r="K293" s="794">
        <f>U293</f>
        <v>0.25</v>
      </c>
      <c r="L293" s="800">
        <f>K293*H293</f>
        <v>0.25</v>
      </c>
      <c r="M293" s="778"/>
      <c r="N293" s="778"/>
      <c r="O293" s="778"/>
      <c r="P293" s="778"/>
      <c r="Q293" s="1767">
        <f t="shared" si="85"/>
        <v>0</v>
      </c>
      <c r="R293" s="819">
        <f>IF(I293=1,E293,0)</f>
        <v>0</v>
      </c>
      <c r="S293" s="819">
        <f>IF(OR(I293=1),0,E293)</f>
        <v>0.25</v>
      </c>
      <c r="T293" s="819">
        <f>IFERROR(S293/$S$295,0)</f>
        <v>0.25</v>
      </c>
      <c r="U293" s="819">
        <f>S293+(T293*$R$295)</f>
        <v>0.25</v>
      </c>
      <c r="V293" s="766"/>
      <c r="AF293" s="441"/>
      <c r="AG293" s="441"/>
      <c r="BE293" s="439"/>
    </row>
    <row r="294" spans="1:57" s="440" customFormat="1" ht="15" customHeight="1" x14ac:dyDescent="0.3">
      <c r="B294" s="771" t="str">
        <f>'I.Strategic Suitability'!B48</f>
        <v>(iv)</v>
      </c>
      <c r="C294" s="790" t="str">
        <f>'I.Strategic Suitability'!C48</f>
        <v>Does the scoping cover the entire term of the project?</v>
      </c>
      <c r="D294" s="790">
        <f>IF(C294=0,0,1)</f>
        <v>1</v>
      </c>
      <c r="E294" s="808">
        <f>D22</f>
        <v>0.25</v>
      </c>
      <c r="F294" s="776" t="str">
        <f>IF(C294=0,"N/A",'I.Strategic Suitability'!AA48)</f>
        <v>Yes</v>
      </c>
      <c r="G294" s="783" t="str">
        <f t="shared" si="82"/>
        <v>Yes</v>
      </c>
      <c r="H294" s="783">
        <f>VLOOKUP(G294,$B$179:$C$184,2,FALSE)</f>
        <v>1</v>
      </c>
      <c r="I294" s="793">
        <f t="shared" si="83"/>
        <v>0</v>
      </c>
      <c r="J294" s="793">
        <f t="shared" si="84"/>
        <v>0</v>
      </c>
      <c r="K294" s="794">
        <f>U294</f>
        <v>0.25</v>
      </c>
      <c r="L294" s="800">
        <f>K294*H294</f>
        <v>0.25</v>
      </c>
      <c r="M294" s="778"/>
      <c r="N294" s="778"/>
      <c r="O294" s="778"/>
      <c r="P294" s="778"/>
      <c r="Q294" s="1767">
        <f t="shared" si="85"/>
        <v>0</v>
      </c>
      <c r="R294" s="819">
        <f>IF(I294=1,E294,0)</f>
        <v>0</v>
      </c>
      <c r="S294" s="819">
        <f>IF(OR(I294=1),0,E294)</f>
        <v>0.25</v>
      </c>
      <c r="T294" s="819">
        <f>IFERROR(S294/$S$295,0)</f>
        <v>0.25</v>
      </c>
      <c r="U294" s="819">
        <f>S294+(T294*$R$295)</f>
        <v>0.25</v>
      </c>
      <c r="V294" s="766"/>
      <c r="AG294" s="441"/>
      <c r="BE294" s="439"/>
    </row>
    <row r="295" spans="1:57" s="440" customFormat="1" ht="15" customHeight="1" x14ac:dyDescent="0.3">
      <c r="B295" s="812"/>
      <c r="C295" s="816" t="s">
        <v>114</v>
      </c>
      <c r="D295" s="816"/>
      <c r="E295" s="817">
        <f>$N$276+$N$281+$N$286+$N$290</f>
        <v>5</v>
      </c>
      <c r="F295" s="815" t="str">
        <f>VLOOKUP(E295,$J$198:$L$207,3,TRUE)</f>
        <v>Very Strong</v>
      </c>
      <c r="G295" s="815"/>
      <c r="H295" s="812"/>
      <c r="I295" s="812"/>
      <c r="J295" s="813"/>
      <c r="K295" s="814"/>
      <c r="L295" s="814"/>
      <c r="M295" s="814"/>
      <c r="N295" s="814"/>
      <c r="O295" s="814"/>
      <c r="P295" s="814"/>
      <c r="Q295" s="1766">
        <f>SUM(Q291:Q294)/(H290-I290)</f>
        <v>0</v>
      </c>
      <c r="R295" s="818">
        <f>SUM(R291:R294)</f>
        <v>0</v>
      </c>
      <c r="S295" s="818">
        <f>SUM(S291:S294)</f>
        <v>1</v>
      </c>
      <c r="T295" s="818">
        <f>SUM(T291:T294)</f>
        <v>1</v>
      </c>
      <c r="U295" s="818">
        <f>SUM(U291:U294)</f>
        <v>1</v>
      </c>
      <c r="V295" s="441"/>
      <c r="AG295" s="441"/>
      <c r="BE295" s="439"/>
    </row>
    <row r="296" spans="1:57" s="440" customFormat="1" ht="15" customHeight="1" x14ac:dyDescent="0.3">
      <c r="BE296" s="439"/>
    </row>
    <row r="297" spans="1:57" s="512" customFormat="1" ht="25.8" x14ac:dyDescent="0.5">
      <c r="A297" s="824" t="s">
        <v>506</v>
      </c>
      <c r="B297" s="517"/>
      <c r="C297" s="517"/>
      <c r="D297" s="516" t="s">
        <v>367</v>
      </c>
      <c r="E297" s="516"/>
      <c r="F297" s="516"/>
      <c r="G297" s="516"/>
      <c r="H297" s="516"/>
      <c r="I297" s="516"/>
      <c r="J297" s="516"/>
      <c r="K297" s="516"/>
      <c r="L297" s="516"/>
      <c r="M297" s="516"/>
      <c r="N297" s="516"/>
      <c r="O297" s="516"/>
      <c r="P297" s="833"/>
      <c r="Q297" s="833"/>
      <c r="R297" s="516" t="s">
        <v>456</v>
      </c>
      <c r="S297" s="516"/>
      <c r="T297" s="516"/>
      <c r="U297" s="516"/>
      <c r="V297" s="516"/>
      <c r="W297" s="516" t="s">
        <v>368</v>
      </c>
      <c r="X297" s="516"/>
      <c r="Y297" s="516"/>
      <c r="Z297" s="516"/>
      <c r="AA297" s="516"/>
      <c r="AB297" s="516"/>
      <c r="AC297" s="516"/>
      <c r="AD297" s="516"/>
      <c r="AE297" s="516" t="s">
        <v>369</v>
      </c>
      <c r="AF297" s="517"/>
      <c r="AG297" s="517"/>
      <c r="AH297" s="517"/>
      <c r="AI297" s="517"/>
      <c r="AJ297" s="517"/>
      <c r="AK297" s="518"/>
      <c r="AL297" s="517"/>
      <c r="AM297" s="517"/>
      <c r="AN297" s="517"/>
      <c r="AO297" s="517"/>
      <c r="AP297" s="517"/>
      <c r="AQ297" s="517"/>
      <c r="AR297" s="517"/>
      <c r="AS297" s="517"/>
      <c r="AT297" s="517"/>
      <c r="AU297" s="517"/>
      <c r="AV297" s="517"/>
      <c r="AW297" s="517"/>
      <c r="AX297" s="517"/>
      <c r="AY297" s="517"/>
      <c r="AZ297" s="517"/>
      <c r="BA297" s="517"/>
      <c r="BB297" s="517"/>
      <c r="BC297" s="517"/>
      <c r="BD297" s="517"/>
      <c r="BE297" s="519"/>
    </row>
    <row r="298" spans="1:57" s="440" customFormat="1" ht="15" customHeight="1" x14ac:dyDescent="0.3">
      <c r="BE298" s="439"/>
    </row>
    <row r="299" spans="1:57" s="440" customFormat="1" ht="42" customHeight="1" x14ac:dyDescent="0.3">
      <c r="B299" s="731" t="s">
        <v>31</v>
      </c>
      <c r="C299" s="731" t="s">
        <v>326</v>
      </c>
      <c r="D299" s="731" t="s">
        <v>464</v>
      </c>
      <c r="E299" s="732" t="s">
        <v>279</v>
      </c>
      <c r="F299" s="732" t="s">
        <v>32</v>
      </c>
      <c r="G299" s="732" t="s">
        <v>449</v>
      </c>
      <c r="H299" s="732" t="s">
        <v>355</v>
      </c>
      <c r="I299" s="732" t="s">
        <v>360</v>
      </c>
      <c r="J299" s="732" t="s">
        <v>361</v>
      </c>
      <c r="K299" s="732" t="s">
        <v>359</v>
      </c>
      <c r="L299" s="732" t="s">
        <v>340</v>
      </c>
      <c r="M299" s="732" t="s">
        <v>356</v>
      </c>
      <c r="N299" s="809" t="s">
        <v>365</v>
      </c>
      <c r="O299" s="809" t="s">
        <v>253</v>
      </c>
      <c r="P299" s="732" t="s">
        <v>115</v>
      </c>
      <c r="Q299" s="809" t="str">
        <f>Q274</f>
        <v>Applicable score constraints for cases with extremely poor responses (Negative, Uncertain and/or Skip) Refer cells B147:F149</v>
      </c>
      <c r="R299" s="731" t="s">
        <v>366</v>
      </c>
      <c r="S299" s="731" t="s">
        <v>374</v>
      </c>
      <c r="T299" s="731"/>
      <c r="U299" s="731"/>
      <c r="V299" s="729"/>
      <c r="W299" s="856"/>
      <c r="X299" s="520"/>
      <c r="Z299" s="520"/>
      <c r="AA299" s="520" t="s">
        <v>372</v>
      </c>
      <c r="AB299" s="806"/>
      <c r="AC299" s="846"/>
      <c r="AD299" s="846"/>
      <c r="AE299" s="454" t="s">
        <v>370</v>
      </c>
      <c r="AF299" s="454" t="s">
        <v>371</v>
      </c>
      <c r="AG299" s="454" t="s">
        <v>282</v>
      </c>
      <c r="AH299" s="846"/>
      <c r="BE299" s="439"/>
    </row>
    <row r="300" spans="1:57" s="440" customFormat="1" ht="15" customHeight="1" x14ac:dyDescent="0.3">
      <c r="B300" s="767">
        <v>1</v>
      </c>
      <c r="C300" s="768"/>
      <c r="D300" s="768"/>
      <c r="E300" s="768"/>
      <c r="F300" s="768"/>
      <c r="G300" s="732"/>
      <c r="H300" s="768"/>
      <c r="I300" s="768"/>
      <c r="J300" s="769"/>
      <c r="K300" s="769"/>
      <c r="L300" s="768"/>
      <c r="M300" s="770"/>
      <c r="N300" s="770"/>
      <c r="O300" s="809"/>
      <c r="P300" s="809"/>
      <c r="Q300" s="1764"/>
      <c r="R300" s="731" t="s">
        <v>362</v>
      </c>
      <c r="S300" s="731" t="s">
        <v>364</v>
      </c>
      <c r="T300" s="731" t="s">
        <v>338</v>
      </c>
      <c r="U300" s="731" t="s">
        <v>336</v>
      </c>
      <c r="W300" s="520" t="s">
        <v>47</v>
      </c>
      <c r="X300" s="520" t="s">
        <v>373</v>
      </c>
      <c r="Z300" s="459">
        <v>1</v>
      </c>
      <c r="AA300" s="459" t="s">
        <v>9</v>
      </c>
      <c r="AB300" s="459">
        <f ca="1">$E$350*180/5</f>
        <v>180</v>
      </c>
      <c r="AC300" s="846"/>
      <c r="AD300" s="846"/>
      <c r="AE300" s="830" t="s">
        <v>34</v>
      </c>
      <c r="AF300" s="830">
        <f ca="1">COUNTIF($G$302:$G$349,"Yes")</f>
        <v>34</v>
      </c>
      <c r="AG300" s="834">
        <f ca="1">AF300/$AF$305</f>
        <v>0.79069767441860461</v>
      </c>
      <c r="AH300" s="846"/>
      <c r="BE300" s="439"/>
    </row>
    <row r="301" spans="1:57" s="440" customFormat="1" ht="15" customHeight="1" x14ac:dyDescent="0.3">
      <c r="B301" s="838">
        <f>Feasibilitya</f>
        <v>1</v>
      </c>
      <c r="C301" s="838" t="str">
        <f>'II.Preliminary Feasibility'!D33</f>
        <v>Technical Prefeasibility</v>
      </c>
      <c r="D301" s="838">
        <f>SUM(D302:D308)</f>
        <v>7</v>
      </c>
      <c r="E301" s="866">
        <f>Admin!I10</f>
        <v>0.2</v>
      </c>
      <c r="F301" s="848"/>
      <c r="G301" s="848"/>
      <c r="H301" s="1770">
        <f>COUNTA(H302:H308)</f>
        <v>7</v>
      </c>
      <c r="I301" s="1770">
        <f>SUM(I302:I308)</f>
        <v>0</v>
      </c>
      <c r="J301" s="1055">
        <f>COUNTIF(J302:J307,1)/COUNT(J302:J307)</f>
        <v>0</v>
      </c>
      <c r="K301" s="840"/>
      <c r="L301" s="839"/>
      <c r="M301" s="1360">
        <f>MIN(Q301,IF(Z251&gt;0,MIN($AA$251,IF(J301&gt;O303,MIN($O$302,IF(OR(AND(F306="No",F307="No"),AND(H306=0.5,H307=0.5)),MIN(O301,SUM(L302:L308)*$S$197),SUM(L302:L308)*$S$197)),IF(OR(AND(F306="No",F307="No"),AND(H306=0.5,H307=0.5)),MIN(O301,SUM(L302:L308)*$S$197),SUM(L302:L308)*$S$197))),IF(J301&gt;O303,MIN($O$302,IF(OR(AND(F306="No",F307="No"),AND(H306=0.5,H307=0.5)),MIN(O301,SUM(L302:L308)*$S$197),SUM(L302:L308)*$S$197)),IF(OR(AND(F306="No",F307="No"),AND(H306=0.5,H307=0.5)),MIN(O301,SUM(L302:L308)*$S$197),SUM(L302:L308)*$S$197))))</f>
        <v>5</v>
      </c>
      <c r="N301" s="868">
        <f>M301*E301</f>
        <v>1</v>
      </c>
      <c r="O301" s="1022">
        <v>2</v>
      </c>
      <c r="P301" s="518"/>
      <c r="Q301" s="1769">
        <f>VLOOKUP(Q309,$D$147:$F$150,3)</f>
        <v>5</v>
      </c>
      <c r="R301" s="518"/>
      <c r="S301" s="518"/>
      <c r="T301" s="518"/>
      <c r="U301" s="518"/>
      <c r="W301" s="774" t="str">
        <f>C301</f>
        <v>Technical Prefeasibility</v>
      </c>
      <c r="X301" s="857">
        <f>M301</f>
        <v>5</v>
      </c>
      <c r="Z301" s="459">
        <f>Z300+1</f>
        <v>2</v>
      </c>
      <c r="AA301" s="459" t="s">
        <v>10</v>
      </c>
      <c r="AB301" s="459">
        <v>1</v>
      </c>
      <c r="AC301" s="853"/>
      <c r="AD301" s="853"/>
      <c r="AE301" s="830" t="s">
        <v>39</v>
      </c>
      <c r="AF301" s="830">
        <f ca="1">COUNTIF($G$302:$G$349,"No")</f>
        <v>0</v>
      </c>
      <c r="AG301" s="834">
        <f ca="1">AF301/$AF$305</f>
        <v>0</v>
      </c>
      <c r="AH301" s="853"/>
      <c r="BE301" s="439"/>
    </row>
    <row r="302" spans="1:57" s="440" customFormat="1" ht="15" customHeight="1" x14ac:dyDescent="0.3">
      <c r="B302" s="849" t="str">
        <f>'II.Preliminary Feasibility'!B34</f>
        <v>(i)</v>
      </c>
      <c r="C302" s="917" t="str">
        <f>'II.Preliminary Feasibility'!D34</f>
        <v>Is the project likely to be based on technology that has been proven commercially in similar environments previously?</v>
      </c>
      <c r="D302" s="917">
        <f t="shared" ref="D302:D308" si="86">IF(C302=0,0,1)</f>
        <v>1</v>
      </c>
      <c r="E302" s="808">
        <f t="shared" ref="E302:E308" si="87">D25</f>
        <v>0.1</v>
      </c>
      <c r="F302" s="777" t="str">
        <f>IF(C302=0,NA,'II.Preliminary Feasibility'!AB34)</f>
        <v>Yes</v>
      </c>
      <c r="G302" s="783" t="str">
        <f t="shared" ref="G302:G308" si="88">VLOOKUP(F302,$B$179:$F$184,4,FALSE)</f>
        <v>Yes</v>
      </c>
      <c r="H302" s="783">
        <f>VLOOKUP(G302,$B$179:$C$184,2,FALSE)</f>
        <v>1</v>
      </c>
      <c r="I302" s="793">
        <f>IF(G302="N/A",1,0)</f>
        <v>0</v>
      </c>
      <c r="J302" s="793">
        <f>IF(G302="Skip",1,0)</f>
        <v>0</v>
      </c>
      <c r="K302" s="794">
        <f t="shared" ref="K302:K308" si="89">U302</f>
        <v>0.1</v>
      </c>
      <c r="L302" s="800">
        <f t="shared" ref="L302:L308" si="90">K302*H302</f>
        <v>0.1</v>
      </c>
      <c r="M302" s="780"/>
      <c r="N302" s="780"/>
      <c r="O302" s="780">
        <v>2</v>
      </c>
      <c r="P302" s="780" t="s">
        <v>434</v>
      </c>
      <c r="Q302" s="1767">
        <f>IF(OR(G302="Yes",G302="N/A"),0,1)</f>
        <v>0</v>
      </c>
      <c r="R302" s="819">
        <f t="shared" ref="R302:R308" si="91">IF(I302=1,E302,0)</f>
        <v>0</v>
      </c>
      <c r="S302" s="819">
        <f t="shared" ref="S302:S308" si="92">IF(I302=1,0,E302)</f>
        <v>0.1</v>
      </c>
      <c r="T302" s="859">
        <f t="shared" ref="T302:T308" si="93">IFERROR(S302/$S$309,0)</f>
        <v>9.9999999999999978E-2</v>
      </c>
      <c r="U302" s="819">
        <f t="shared" ref="U302:U308" si="94">S302+(T302*$R$309)</f>
        <v>0.1</v>
      </c>
      <c r="W302" s="774" t="str">
        <f>C310</f>
        <v>Environmental Sustainability</v>
      </c>
      <c r="X302" s="857">
        <f>M311</f>
        <v>5</v>
      </c>
      <c r="Z302" s="459">
        <f>Z301+1</f>
        <v>3</v>
      </c>
      <c r="AA302" s="459" t="s">
        <v>11</v>
      </c>
      <c r="AB302" s="459">
        <f ca="1">360-AB300-AB301</f>
        <v>179</v>
      </c>
      <c r="AC302" s="853"/>
      <c r="AD302" s="853"/>
      <c r="AE302" s="830" t="s">
        <v>61</v>
      </c>
      <c r="AF302" s="830">
        <f ca="1">COUNTIF($F$302:$F$349,"Skip")</f>
        <v>0</v>
      </c>
      <c r="AG302" s="834">
        <f ca="1">AF302/$AF$305</f>
        <v>0</v>
      </c>
      <c r="AH302" s="853"/>
      <c r="BE302" s="439"/>
    </row>
    <row r="303" spans="1:57" s="440" customFormat="1" ht="15" customHeight="1" x14ac:dyDescent="0.3">
      <c r="B303" s="849" t="str">
        <f>'II.Preliminary Feasibility'!B35</f>
        <v>(ii)</v>
      </c>
      <c r="C303" s="917" t="str">
        <f>'II.Preliminary Feasibility'!D35</f>
        <v>Is the project's scope of work comparable to other reference projects?</v>
      </c>
      <c r="D303" s="917">
        <f t="shared" si="86"/>
        <v>1</v>
      </c>
      <c r="E303" s="808">
        <f t="shared" si="87"/>
        <v>0.1</v>
      </c>
      <c r="F303" s="777" t="str">
        <f>IF(C303=0,NA,'II.Preliminary Feasibility'!AB35)</f>
        <v>Yes</v>
      </c>
      <c r="G303" s="783" t="str">
        <f t="shared" si="88"/>
        <v>Yes</v>
      </c>
      <c r="H303" s="783">
        <f t="shared" ref="H303:H308" si="95">VLOOKUP(G303,$B$179:$C$184,2,FALSE)</f>
        <v>1</v>
      </c>
      <c r="I303" s="793">
        <f t="shared" ref="I303:I307" si="96">IF(G303="N/A",1,0)</f>
        <v>0</v>
      </c>
      <c r="J303" s="793">
        <f t="shared" ref="J303:J307" si="97">IF(G303="Skip",1,0)</f>
        <v>0</v>
      </c>
      <c r="K303" s="794">
        <f t="shared" si="89"/>
        <v>0.1</v>
      </c>
      <c r="L303" s="800">
        <f t="shared" si="90"/>
        <v>0.1</v>
      </c>
      <c r="M303" s="780"/>
      <c r="N303" s="780"/>
      <c r="O303" s="1745">
        <v>0.6</v>
      </c>
      <c r="P303" s="780"/>
      <c r="Q303" s="1767">
        <f t="shared" ref="Q303:Q308" si="98">IF(OR(G303="Yes",G303="N/A"),0,1)</f>
        <v>0</v>
      </c>
      <c r="R303" s="819">
        <f t="shared" si="91"/>
        <v>0</v>
      </c>
      <c r="S303" s="819">
        <f t="shared" si="92"/>
        <v>0.1</v>
      </c>
      <c r="T303" s="859">
        <f t="shared" si="93"/>
        <v>9.9999999999999978E-2</v>
      </c>
      <c r="U303" s="819">
        <f t="shared" si="94"/>
        <v>0.1</v>
      </c>
      <c r="W303" s="774" t="str">
        <f>C318</f>
        <v>Social Sustainability</v>
      </c>
      <c r="X303" s="857">
        <f>M318</f>
        <v>5</v>
      </c>
      <c r="Z303" s="514"/>
      <c r="AA303" s="514"/>
      <c r="AB303" s="514"/>
      <c r="AC303" s="853"/>
      <c r="AD303" s="853"/>
      <c r="AE303" s="831" t="s">
        <v>160</v>
      </c>
      <c r="AF303" s="830">
        <f ca="1">COUNTIF($F$302:$F$349,"N/A")</f>
        <v>4</v>
      </c>
      <c r="AG303" s="834">
        <f ca="1">AF303/$AF$305</f>
        <v>9.3023255813953487E-2</v>
      </c>
      <c r="AH303" s="853"/>
      <c r="BE303" s="439"/>
    </row>
    <row r="304" spans="1:57" s="440" customFormat="1" ht="15" customHeight="1" x14ac:dyDescent="0.3">
      <c r="B304" s="849" t="str">
        <f>'II.Preliminary Feasibility'!B36</f>
        <v>(iii)</v>
      </c>
      <c r="C304" s="1031" t="str">
        <f>'II.Preliminary Feasibility'!D36</f>
        <v>Are the technical cost estimates in line with required output specifications?</v>
      </c>
      <c r="D304" s="1032">
        <f t="shared" si="86"/>
        <v>1</v>
      </c>
      <c r="E304" s="808">
        <f t="shared" si="87"/>
        <v>0.2</v>
      </c>
      <c r="F304" s="777" t="str">
        <f>IF(C304=0,NA,'II.Preliminary Feasibility'!AB36)</f>
        <v>Yes</v>
      </c>
      <c r="G304" s="783" t="str">
        <f t="shared" si="88"/>
        <v>Yes</v>
      </c>
      <c r="H304" s="783">
        <f t="shared" si="95"/>
        <v>1</v>
      </c>
      <c r="I304" s="793">
        <f t="shared" si="96"/>
        <v>0</v>
      </c>
      <c r="J304" s="793">
        <f t="shared" si="97"/>
        <v>0</v>
      </c>
      <c r="K304" s="794">
        <f t="shared" si="89"/>
        <v>0.2</v>
      </c>
      <c r="L304" s="800">
        <f t="shared" si="90"/>
        <v>0.2</v>
      </c>
      <c r="M304" s="780"/>
      <c r="N304" s="780"/>
      <c r="O304" s="780"/>
      <c r="P304" s="780"/>
      <c r="Q304" s="1767">
        <f t="shared" si="98"/>
        <v>0</v>
      </c>
      <c r="R304" s="819">
        <f t="shared" si="91"/>
        <v>0</v>
      </c>
      <c r="S304" s="819">
        <f t="shared" si="92"/>
        <v>0.2</v>
      </c>
      <c r="T304" s="859">
        <f t="shared" si="93"/>
        <v>0.19999999999999996</v>
      </c>
      <c r="U304" s="819">
        <f t="shared" si="94"/>
        <v>0.2</v>
      </c>
      <c r="W304" s="774" t="str">
        <f>C327</f>
        <v>Economic Prefeasibility</v>
      </c>
      <c r="X304" s="857">
        <f>M327</f>
        <v>5</v>
      </c>
      <c r="Z304" s="514"/>
      <c r="AA304" s="514"/>
      <c r="AB304" s="514"/>
      <c r="AC304" s="853"/>
      <c r="AD304" s="853"/>
      <c r="AE304" s="831" t="s">
        <v>79</v>
      </c>
      <c r="AF304" s="830">
        <f ca="1">COUNTIF($F$302:$F$349,"Uncertain")</f>
        <v>0</v>
      </c>
      <c r="AG304" s="834">
        <f ca="1">AF304/$AF$305</f>
        <v>0</v>
      </c>
      <c r="AH304" s="853"/>
      <c r="BE304" s="439"/>
    </row>
    <row r="305" spans="2:57" s="440" customFormat="1" ht="15" customHeight="1" x14ac:dyDescent="0.3">
      <c r="B305" s="849" t="str">
        <f>'II.Preliminary Feasibility'!B37</f>
        <v>(iv)</v>
      </c>
      <c r="C305" s="1032" t="str">
        <f>'II.Preliminary Feasibility'!D37</f>
        <v>Are the life cycle costs for major components of the project reasonable and affordable?</v>
      </c>
      <c r="D305" s="917">
        <f t="shared" si="86"/>
        <v>1</v>
      </c>
      <c r="E305" s="808">
        <f t="shared" si="87"/>
        <v>0.2</v>
      </c>
      <c r="F305" s="777" t="str">
        <f>IF(C305=0,NA,'II.Preliminary Feasibility'!AB37)</f>
        <v>Yes</v>
      </c>
      <c r="G305" s="783" t="str">
        <f t="shared" si="88"/>
        <v>Yes</v>
      </c>
      <c r="H305" s="783">
        <f t="shared" si="95"/>
        <v>1</v>
      </c>
      <c r="I305" s="793">
        <f t="shared" si="96"/>
        <v>0</v>
      </c>
      <c r="J305" s="793">
        <f t="shared" si="97"/>
        <v>0</v>
      </c>
      <c r="K305" s="794">
        <f t="shared" si="89"/>
        <v>0.2</v>
      </c>
      <c r="L305" s="800">
        <f t="shared" si="90"/>
        <v>0.2</v>
      </c>
      <c r="M305" s="780"/>
      <c r="N305" s="780"/>
      <c r="O305" s="780"/>
      <c r="P305" s="780"/>
      <c r="Q305" s="1767">
        <f t="shared" si="98"/>
        <v>0</v>
      </c>
      <c r="R305" s="819">
        <f t="shared" si="91"/>
        <v>0</v>
      </c>
      <c r="S305" s="819">
        <f t="shared" si="92"/>
        <v>0.2</v>
      </c>
      <c r="T305" s="859">
        <f t="shared" si="93"/>
        <v>0.19999999999999996</v>
      </c>
      <c r="U305" s="819">
        <f t="shared" si="94"/>
        <v>0.2</v>
      </c>
      <c r="W305" s="774" t="str">
        <f>C333</f>
        <v>Financial Prefeasibility</v>
      </c>
      <c r="X305" s="857">
        <f ca="1">M333</f>
        <v>4.9999999999999991</v>
      </c>
      <c r="Z305" s="514"/>
      <c r="AE305" s="831" t="s">
        <v>220</v>
      </c>
      <c r="AF305" s="832">
        <f ca="1">COUNT(H302:H349)</f>
        <v>43</v>
      </c>
      <c r="AG305" s="780"/>
      <c r="BE305" s="439"/>
    </row>
    <row r="306" spans="2:57" s="440" customFormat="1" ht="15" customHeight="1" x14ac:dyDescent="0.3">
      <c r="B306" s="849" t="str">
        <f>'II.Preliminary Feasibility'!B38</f>
        <v>(v)</v>
      </c>
      <c r="C306" s="917" t="str">
        <f>'II.Preliminary Feasibility'!D38</f>
        <v>Has a site suitability assessment been completed for the proposed project site?</v>
      </c>
      <c r="D306" s="917">
        <f t="shared" si="86"/>
        <v>1</v>
      </c>
      <c r="E306" s="808">
        <f t="shared" si="87"/>
        <v>0.1</v>
      </c>
      <c r="F306" s="777" t="str">
        <f>IF(C306=0,NA,'II.Preliminary Feasibility'!AB38)</f>
        <v>Yes</v>
      </c>
      <c r="G306" s="783" t="str">
        <f t="shared" si="88"/>
        <v>Yes</v>
      </c>
      <c r="H306" s="783">
        <f t="shared" si="95"/>
        <v>1</v>
      </c>
      <c r="I306" s="793">
        <f t="shared" si="96"/>
        <v>0</v>
      </c>
      <c r="J306" s="793">
        <f t="shared" si="97"/>
        <v>0</v>
      </c>
      <c r="K306" s="794">
        <f t="shared" si="89"/>
        <v>0.1</v>
      </c>
      <c r="L306" s="800">
        <f t="shared" si="90"/>
        <v>0.1</v>
      </c>
      <c r="M306" s="780"/>
      <c r="N306" s="780"/>
      <c r="O306" s="780"/>
      <c r="P306" s="780"/>
      <c r="Q306" s="1767">
        <f t="shared" si="98"/>
        <v>0</v>
      </c>
      <c r="R306" s="819">
        <f t="shared" si="91"/>
        <v>0</v>
      </c>
      <c r="S306" s="819">
        <f t="shared" si="92"/>
        <v>0.1</v>
      </c>
      <c r="T306" s="859">
        <f t="shared" si="93"/>
        <v>9.9999999999999978E-2</v>
      </c>
      <c r="U306" s="819">
        <f t="shared" si="94"/>
        <v>0.1</v>
      </c>
      <c r="W306" s="858" t="str">
        <f>C344</f>
        <v>Legal Prefeasibility</v>
      </c>
      <c r="X306" s="857">
        <f>M344</f>
        <v>5</v>
      </c>
      <c r="Z306" s="441"/>
      <c r="BE306" s="439"/>
    </row>
    <row r="307" spans="2:57" s="440" customFormat="1" ht="15" customHeight="1" x14ac:dyDescent="0.3">
      <c r="B307" s="849" t="str">
        <f>'II.Preliminary Feasibility'!B39</f>
        <v>(vi)</v>
      </c>
      <c r="C307" s="1032" t="str">
        <f>'II.Preliminary Feasibility'!D39</f>
        <v>Is the proposed site accessible with any potential challenges during construction being manageable?</v>
      </c>
      <c r="D307" s="1032">
        <f t="shared" si="86"/>
        <v>1</v>
      </c>
      <c r="E307" s="808">
        <f t="shared" si="87"/>
        <v>0.2</v>
      </c>
      <c r="F307" s="777" t="str">
        <f>IF(C307=0,NA,'II.Preliminary Feasibility'!AB39)</f>
        <v>Yes</v>
      </c>
      <c r="G307" s="783" t="str">
        <f t="shared" si="88"/>
        <v>Yes</v>
      </c>
      <c r="H307" s="783">
        <f t="shared" si="95"/>
        <v>1</v>
      </c>
      <c r="I307" s="793">
        <f t="shared" si="96"/>
        <v>0</v>
      </c>
      <c r="J307" s="793">
        <f t="shared" si="97"/>
        <v>0</v>
      </c>
      <c r="K307" s="794">
        <f t="shared" si="89"/>
        <v>0.2</v>
      </c>
      <c r="L307" s="800">
        <f t="shared" si="90"/>
        <v>0.2</v>
      </c>
      <c r="M307" s="780"/>
      <c r="N307" s="780"/>
      <c r="O307" s="780"/>
      <c r="P307" s="780"/>
      <c r="Q307" s="1767">
        <f t="shared" si="98"/>
        <v>0</v>
      </c>
      <c r="R307" s="819">
        <f t="shared" si="91"/>
        <v>0</v>
      </c>
      <c r="S307" s="819">
        <f t="shared" si="92"/>
        <v>0.2</v>
      </c>
      <c r="T307" s="859">
        <f t="shared" si="93"/>
        <v>0.19999999999999996</v>
      </c>
      <c r="U307" s="819">
        <f t="shared" si="94"/>
        <v>0.2</v>
      </c>
      <c r="Z307" s="441"/>
      <c r="AA307" s="514"/>
      <c r="AB307" s="514"/>
      <c r="AC307" s="853"/>
      <c r="AD307" s="853"/>
      <c r="AE307" s="520" t="s">
        <v>416</v>
      </c>
      <c r="AF307" s="441"/>
      <c r="AG307" s="853"/>
      <c r="AH307" s="853"/>
      <c r="BE307" s="439"/>
    </row>
    <row r="308" spans="2:57" s="440" customFormat="1" ht="15" customHeight="1" x14ac:dyDescent="0.3">
      <c r="B308" s="849" t="str">
        <f>'II.Preliminary Feasibility'!B40</f>
        <v>(vii)</v>
      </c>
      <c r="C308" s="917" t="str">
        <f>'II.Preliminary Feasibility'!D40</f>
        <v>Will the project be able to source the required skills, locally or from overseas, in relation to the project's Construction, Operations and Maintenance?</v>
      </c>
      <c r="D308" s="917">
        <f t="shared" si="86"/>
        <v>1</v>
      </c>
      <c r="E308" s="808">
        <f t="shared" si="87"/>
        <v>0.1</v>
      </c>
      <c r="F308" s="777" t="str">
        <f>IF(C308=0,NA,'II.Preliminary Feasibility'!AB40)</f>
        <v>Yes</v>
      </c>
      <c r="G308" s="783" t="str">
        <f t="shared" si="88"/>
        <v>Yes</v>
      </c>
      <c r="H308" s="783">
        <f t="shared" si="95"/>
        <v>1</v>
      </c>
      <c r="I308" s="793">
        <f t="shared" ref="I308" si="99">IF(G308="N/A",1,0)</f>
        <v>0</v>
      </c>
      <c r="J308" s="793">
        <f t="shared" ref="J308" si="100">IF(G308="Skip",1,0)</f>
        <v>0</v>
      </c>
      <c r="K308" s="794">
        <f t="shared" si="89"/>
        <v>0.1</v>
      </c>
      <c r="L308" s="800">
        <f t="shared" si="90"/>
        <v>0.1</v>
      </c>
      <c r="M308" s="780"/>
      <c r="N308" s="780"/>
      <c r="O308" s="780"/>
      <c r="P308" s="780"/>
      <c r="Q308" s="1767">
        <f t="shared" si="98"/>
        <v>0</v>
      </c>
      <c r="R308" s="819">
        <f t="shared" si="91"/>
        <v>0</v>
      </c>
      <c r="S308" s="819">
        <f t="shared" si="92"/>
        <v>0.1</v>
      </c>
      <c r="T308" s="859">
        <f t="shared" si="93"/>
        <v>9.9999999999999978E-2</v>
      </c>
      <c r="U308" s="819">
        <f t="shared" si="94"/>
        <v>0.1</v>
      </c>
      <c r="Z308" s="441"/>
      <c r="AA308" s="514"/>
      <c r="AB308" s="514"/>
      <c r="AC308" s="853"/>
      <c r="AD308" s="853"/>
      <c r="AE308" s="1024">
        <v>0</v>
      </c>
      <c r="AF308" s="1019">
        <f>AE309-0.00001</f>
        <v>-1.0000000000000001E-5</v>
      </c>
      <c r="AG308" s="1025">
        <v>1</v>
      </c>
      <c r="AH308" s="853"/>
      <c r="BE308" s="439"/>
    </row>
    <row r="309" spans="2:57" s="440" customFormat="1" ht="15" customHeight="1" thickBot="1" x14ac:dyDescent="0.35">
      <c r="B309" s="849"/>
      <c r="C309" s="842"/>
      <c r="D309" s="842"/>
      <c r="E309" s="854"/>
      <c r="F309" s="777"/>
      <c r="G309" s="777"/>
      <c r="H309" s="783"/>
      <c r="I309" s="793"/>
      <c r="J309" s="793"/>
      <c r="K309" s="794"/>
      <c r="L309" s="800"/>
      <c r="M309" s="780"/>
      <c r="N309" s="780"/>
      <c r="O309" s="780"/>
      <c r="P309" s="780"/>
      <c r="Q309" s="1766">
        <f>SUM(Q302:Q308)/(H301-I301)</f>
        <v>0</v>
      </c>
      <c r="R309" s="818">
        <f>SUM(R302:R308)</f>
        <v>0</v>
      </c>
      <c r="S309" s="818">
        <f>SUM(S302:S308)</f>
        <v>1.0000000000000002</v>
      </c>
      <c r="T309" s="818">
        <f>SUM(T302:T308)</f>
        <v>0.99999999999999978</v>
      </c>
      <c r="U309" s="818">
        <f>SUM(U302:U308)</f>
        <v>1.0000000000000002</v>
      </c>
      <c r="Z309" s="441"/>
      <c r="AA309" s="441"/>
      <c r="AB309" s="441" t="s">
        <v>474</v>
      </c>
      <c r="AC309" s="441">
        <v>2.5</v>
      </c>
      <c r="AD309" s="441"/>
      <c r="AE309" s="1094">
        <f>ABS(AE310)/2</f>
        <v>0</v>
      </c>
      <c r="AF309" s="1104">
        <f>AE310-0.001%</f>
        <v>-1.0000000000000001E-5</v>
      </c>
      <c r="AG309" s="1025">
        <v>2</v>
      </c>
      <c r="AH309" s="441"/>
      <c r="BE309" s="439"/>
    </row>
    <row r="310" spans="2:57" s="440" customFormat="1" ht="15" customHeight="1" x14ac:dyDescent="0.3">
      <c r="B310" s="850">
        <f>'II.Preliminary Feasibility'!B42</f>
        <v>2</v>
      </c>
      <c r="C310" s="838" t="str">
        <f>'II.Preliminary Feasibility'!D42</f>
        <v>Environmental Sustainability</v>
      </c>
      <c r="D310" s="838">
        <f>SUM(D311:D316)</f>
        <v>6</v>
      </c>
      <c r="E310" s="867">
        <f>Admin!I11</f>
        <v>0.1</v>
      </c>
      <c r="F310" s="841" t="str">
        <f>'II.Preliminary Feasibility'!AB42</f>
        <v/>
      </c>
      <c r="G310" s="841"/>
      <c r="H310" s="1770">
        <f>COUNTA(H311:H316)</f>
        <v>6</v>
      </c>
      <c r="I310" s="1770">
        <f>SUM(I311:I316)</f>
        <v>0</v>
      </c>
      <c r="J310" s="1055">
        <f>COUNTIF(J311:J313,1)/COUNT(J311:J313)</f>
        <v>0</v>
      </c>
      <c r="K310" s="851"/>
      <c r="L310" s="852"/>
      <c r="M310" s="1102">
        <f>W345*W344+W346*M311</f>
        <v>5</v>
      </c>
      <c r="N310" s="868">
        <f>M310*E310</f>
        <v>0.5</v>
      </c>
      <c r="O310" s="1022">
        <v>2</v>
      </c>
      <c r="P310" s="518"/>
      <c r="Q310" s="1769">
        <f>VLOOKUP(Q317,$D$147:$F$150,3)</f>
        <v>5</v>
      </c>
      <c r="R310" s="518"/>
      <c r="S310" s="518"/>
      <c r="T310" s="518"/>
      <c r="U310" s="518"/>
      <c r="Z310" s="441"/>
      <c r="AA310" s="441"/>
      <c r="AB310" s="1064" t="s">
        <v>435</v>
      </c>
      <c r="AC310" s="1061">
        <f>AG313</f>
        <v>5</v>
      </c>
      <c r="AE310" s="1103">
        <f>IF(ISERROR('0.Basic Project Data'!H48),12%,'0.Basic Project Data'!H48)</f>
        <v>0</v>
      </c>
      <c r="AF310" s="1096">
        <f>AE310+$AF$321</f>
        <v>-1.0000000000000001E-5</v>
      </c>
      <c r="AG310" s="1025">
        <v>3</v>
      </c>
      <c r="AH310" s="441"/>
      <c r="BE310" s="439"/>
    </row>
    <row r="311" spans="2:57" s="440" customFormat="1" ht="15" customHeight="1" x14ac:dyDescent="0.3">
      <c r="B311" s="849" t="str">
        <f>'II.Preliminary Feasibility'!B43</f>
        <v>(i)</v>
      </c>
      <c r="C311" s="917" t="str">
        <f>'II.Preliminary Feasibility'!D43</f>
        <v xml:space="preserve">Is there a reliable initial environmental analysis related to the project? </v>
      </c>
      <c r="D311" s="917">
        <f t="shared" ref="D311:D316" si="101">IF(C311=0,0,1)</f>
        <v>1</v>
      </c>
      <c r="E311" s="808">
        <f t="shared" ref="E311:E316" si="102">D32</f>
        <v>0.15</v>
      </c>
      <c r="F311" s="777" t="str">
        <f>IF(C311=0,NA,'II.Preliminary Feasibility'!AB43)</f>
        <v>Yes</v>
      </c>
      <c r="G311" s="783" t="str">
        <f t="shared" ref="G311" si="103">VLOOKUP(F311,$B$179:$F$184,4,FALSE)</f>
        <v>Yes</v>
      </c>
      <c r="H311" s="783">
        <f t="shared" ref="H311:H316" si="104">VLOOKUP(G311,$B$179:$C$184,2,FALSE)</f>
        <v>1</v>
      </c>
      <c r="I311" s="793">
        <f t="shared" ref="I311:I316" si="105">IF(G311="N/A",1,0)</f>
        <v>0</v>
      </c>
      <c r="J311" s="793">
        <f t="shared" ref="J311:J316" si="106">IF(G311="Skip",1,0)</f>
        <v>0</v>
      </c>
      <c r="K311" s="794">
        <f t="shared" ref="K311:K316" si="107">U311</f>
        <v>0.15</v>
      </c>
      <c r="L311" s="800">
        <f t="shared" ref="L311:L316" si="108">K311*H311</f>
        <v>0.15</v>
      </c>
      <c r="M311" s="1360">
        <f>MIN(Q310,IF(OR(G312=No,G313=No),O310,Q310),IF(Z252&gt;1,MIN($AA$252,IF(AND(OR(AND($F$312="Yes",$F$313="Yes"),AND($F$312="No",$F$313="No"),AND($F$312="Yes",$F$313="No"),AND($F$312="No",$F$313="Yes")),$F$311="Yes"),SUM(L311:L316)*$S$197,O310)),IF(AND(OR(AND($F$312="Yes",$F$313="Yes"),AND($F$312="No",$F$313="No"),AND($F$312="Yes",$F$313="No"),AND($F$312="No",$F$313="Yes")),$F$311="Yes"),SUM(L311:L316)*$S$197,O310)))</f>
        <v>5</v>
      </c>
      <c r="N311" s="780"/>
      <c r="O311" s="831"/>
      <c r="P311" s="831"/>
      <c r="Q311" s="1767">
        <f>IF(OR(G311="Yes",G311="N/A"),0,1)</f>
        <v>0</v>
      </c>
      <c r="R311" s="819">
        <f t="shared" ref="R311:R316" si="109">IF(I311=1,E311,0)</f>
        <v>0</v>
      </c>
      <c r="S311" s="819">
        <f t="shared" ref="S311:S316" si="110">IF(I311=1,0,E311)</f>
        <v>0.15</v>
      </c>
      <c r="T311" s="859">
        <f t="shared" ref="T311:T316" si="111">IFERROR(S311/$S$317,0)</f>
        <v>0.27272727272727271</v>
      </c>
      <c r="U311" s="819">
        <f t="shared" ref="U311:U316" si="112">S311+(T311*$R$317)</f>
        <v>0.15</v>
      </c>
      <c r="Z311" s="441"/>
      <c r="AA311" s="441"/>
      <c r="AB311" s="1065" t="s">
        <v>436</v>
      </c>
      <c r="AC311" s="1062">
        <f>J12</f>
        <v>0.5</v>
      </c>
      <c r="AE311" s="1098">
        <f>AF310+0.001%</f>
        <v>0</v>
      </c>
      <c r="AF311" s="1017">
        <f>AE311+$AF$321</f>
        <v>-1.0000000000000001E-5</v>
      </c>
      <c r="AG311" s="1025">
        <v>4</v>
      </c>
      <c r="AH311" s="441"/>
      <c r="BE311" s="439"/>
    </row>
    <row r="312" spans="2:57" s="440" customFormat="1" ht="15" customHeight="1" thickBot="1" x14ac:dyDescent="0.35">
      <c r="B312" s="849" t="str">
        <f>'II.Preliminary Feasibility'!B44</f>
        <v>(ii)</v>
      </c>
      <c r="C312" s="1032" t="str">
        <f>'II.Preliminary Feasibility'!D44</f>
        <v>Will the project have any significant negative impact on any natural resources or protected land?</v>
      </c>
      <c r="D312" s="917">
        <f t="shared" si="101"/>
        <v>1</v>
      </c>
      <c r="E312" s="808">
        <f t="shared" si="102"/>
        <v>0.25</v>
      </c>
      <c r="F312" s="777" t="str">
        <f>IF(C312=0,NA,'II.Preliminary Feasibility'!AB44)</f>
        <v>No</v>
      </c>
      <c r="G312" s="783" t="str">
        <f>VLOOKUP(F312,$B$179:$F$184,5,FALSE)</f>
        <v>Yes</v>
      </c>
      <c r="H312" s="783">
        <f t="shared" si="104"/>
        <v>1</v>
      </c>
      <c r="I312" s="793">
        <f t="shared" si="105"/>
        <v>0</v>
      </c>
      <c r="J312" s="793">
        <f t="shared" si="106"/>
        <v>0</v>
      </c>
      <c r="K312" s="794">
        <f t="shared" si="107"/>
        <v>0.25</v>
      </c>
      <c r="L312" s="800">
        <f t="shared" si="108"/>
        <v>0.25</v>
      </c>
      <c r="M312" s="780"/>
      <c r="N312" s="780"/>
      <c r="O312" s="780"/>
      <c r="P312" s="780"/>
      <c r="Q312" s="1767">
        <f t="shared" ref="Q312:Q316" si="113">IF(OR(G312="Yes",G312="N/A"),0,1)</f>
        <v>0</v>
      </c>
      <c r="R312" s="819">
        <f t="shared" si="109"/>
        <v>0</v>
      </c>
      <c r="S312" s="819">
        <f t="shared" si="110"/>
        <v>0.25</v>
      </c>
      <c r="T312" s="859">
        <f t="shared" si="111"/>
        <v>0.45454545454545453</v>
      </c>
      <c r="U312" s="819">
        <f t="shared" si="112"/>
        <v>0.25</v>
      </c>
      <c r="AA312" s="441"/>
      <c r="AB312" s="1066" t="s">
        <v>437</v>
      </c>
      <c r="AC312" s="1063">
        <f>AC310*AC311</f>
        <v>2.5</v>
      </c>
      <c r="AE312" s="1098">
        <f>AF311+0.001%</f>
        <v>0</v>
      </c>
      <c r="AF312" s="1024">
        <v>1</v>
      </c>
      <c r="AG312" s="1025">
        <v>5</v>
      </c>
      <c r="AH312" s="441"/>
      <c r="BE312" s="439"/>
    </row>
    <row r="313" spans="2:57" s="440" customFormat="1" ht="33" customHeight="1" x14ac:dyDescent="0.3">
      <c r="B313" s="849" t="str">
        <f>'II.Preliminary Feasibility'!B45</f>
        <v>(iii)</v>
      </c>
      <c r="C313" s="1394" t="str">
        <f>'II.Preliminary Feasibility'!D45</f>
        <v>Is the identified environmental management strategy, or its related approvals, likely to result in uncertainties or delays that could impede the implementation of the project?</v>
      </c>
      <c r="D313" s="917">
        <f t="shared" si="101"/>
        <v>1</v>
      </c>
      <c r="E313" s="808">
        <f t="shared" si="102"/>
        <v>0.15</v>
      </c>
      <c r="F313" s="777" t="str">
        <f>IF(C313=0,NA,'II.Preliminary Feasibility'!AB45)</f>
        <v>No</v>
      </c>
      <c r="G313" s="783" t="str">
        <f>VLOOKUP(F313,$B$179:$F$184,5,FALSE)</f>
        <v>Yes</v>
      </c>
      <c r="H313" s="783">
        <f t="shared" si="104"/>
        <v>1</v>
      </c>
      <c r="I313" s="793">
        <f t="shared" si="105"/>
        <v>0</v>
      </c>
      <c r="J313" s="793">
        <f t="shared" si="106"/>
        <v>0</v>
      </c>
      <c r="K313" s="794">
        <f t="shared" si="107"/>
        <v>0.15</v>
      </c>
      <c r="L313" s="800">
        <f t="shared" si="108"/>
        <v>0.15</v>
      </c>
      <c r="M313" s="780"/>
      <c r="N313" s="780"/>
      <c r="O313" s="780"/>
      <c r="P313" s="780"/>
      <c r="Q313" s="1767">
        <f t="shared" si="113"/>
        <v>0</v>
      </c>
      <c r="R313" s="819">
        <f t="shared" si="109"/>
        <v>0</v>
      </c>
      <c r="S313" s="819">
        <f t="shared" si="110"/>
        <v>0.15</v>
      </c>
      <c r="T313" s="859">
        <f t="shared" si="111"/>
        <v>0.27272727272727271</v>
      </c>
      <c r="U313" s="819">
        <f t="shared" si="112"/>
        <v>0.15</v>
      </c>
      <c r="AA313" s="441"/>
      <c r="AB313" s="441"/>
      <c r="AC313" s="441"/>
      <c r="AD313" s="441"/>
      <c r="AE313" s="520" t="s">
        <v>417</v>
      </c>
      <c r="AF313" s="1027">
        <f>'0.Basic Project Data'!H47</f>
        <v>0</v>
      </c>
      <c r="AG313" s="743">
        <f>IF(ISERROR(ABS($AF$313)&gt;=0),$AC$309,VLOOKUP($AF$313,$AE$308:$AG$312,3,TRUE))</f>
        <v>5</v>
      </c>
      <c r="AH313" s="441"/>
      <c r="BE313" s="439"/>
    </row>
    <row r="314" spans="2:57" s="440" customFormat="1" ht="23.55" customHeight="1" x14ac:dyDescent="0.3">
      <c r="B314" s="849" t="str">
        <f>'II.Preliminary Feasibility'!B46</f>
        <v>(iv)</v>
      </c>
      <c r="C314" s="917" t="str">
        <f>'II.Preliminary Feasibility'!D46</f>
        <v>Will the completed project likely be carbon neutral or net carbon negative, in terms of greenhouse gas emissions?</v>
      </c>
      <c r="D314" s="917">
        <f t="shared" si="101"/>
        <v>1</v>
      </c>
      <c r="E314" s="808">
        <f t="shared" si="102"/>
        <v>0.15</v>
      </c>
      <c r="F314" s="777" t="str">
        <f>IF(C314=0,NA,'II.Preliminary Feasibility'!AB46)</f>
        <v>Yes</v>
      </c>
      <c r="G314" s="783" t="str">
        <f>VLOOKUP(F314,$B$179:$F$184,4,FALSE)</f>
        <v>Yes</v>
      </c>
      <c r="H314" s="783">
        <f t="shared" si="104"/>
        <v>1</v>
      </c>
      <c r="I314" s="793">
        <f t="shared" si="105"/>
        <v>0</v>
      </c>
      <c r="J314" s="793">
        <f t="shared" si="106"/>
        <v>0</v>
      </c>
      <c r="K314" s="794">
        <f t="shared" si="107"/>
        <v>0.15</v>
      </c>
      <c r="L314" s="800">
        <f t="shared" si="108"/>
        <v>0.15</v>
      </c>
      <c r="M314" s="780"/>
      <c r="N314" s="780"/>
      <c r="O314" s="780"/>
      <c r="P314" s="780"/>
      <c r="Q314" s="1767">
        <f t="shared" si="113"/>
        <v>0</v>
      </c>
      <c r="R314" s="819">
        <f t="shared" si="109"/>
        <v>0</v>
      </c>
      <c r="S314" s="819">
        <f t="shared" si="110"/>
        <v>0.15</v>
      </c>
      <c r="T314" s="859">
        <f t="shared" si="111"/>
        <v>0.27272727272727271</v>
      </c>
      <c r="U314" s="819">
        <f t="shared" si="112"/>
        <v>0.15</v>
      </c>
      <c r="AA314" s="441"/>
      <c r="AB314" s="441"/>
      <c r="AC314" s="441"/>
      <c r="AD314" s="441"/>
      <c r="AE314" s="846"/>
      <c r="AF314" s="1393"/>
      <c r="AG314" s="1000"/>
      <c r="AH314" s="441"/>
      <c r="BE314" s="439"/>
    </row>
    <row r="315" spans="2:57" s="440" customFormat="1" ht="27.75" customHeight="1" x14ac:dyDescent="0.3">
      <c r="B315" s="849" t="str">
        <f>'II.Preliminary Feasibility'!B47</f>
        <v>(v)</v>
      </c>
      <c r="C315" s="1394" t="str">
        <f>'II.Preliminary Feasibility'!D47</f>
        <v>Will the design and systems of the project be resilient and adaptive to changes in climate conditions or other significant long-term changes in operational or environmental conditions?</v>
      </c>
      <c r="D315" s="917">
        <f t="shared" si="101"/>
        <v>1</v>
      </c>
      <c r="E315" s="808">
        <f t="shared" si="102"/>
        <v>0.15</v>
      </c>
      <c r="F315" s="777" t="str">
        <f>IF(C315=0,NA,'II.Preliminary Feasibility'!AB47)</f>
        <v>Yes</v>
      </c>
      <c r="G315" s="783" t="str">
        <f>VLOOKUP(F315,$B$179:$F$184,4,FALSE)</f>
        <v>Yes</v>
      </c>
      <c r="H315" s="783">
        <f t="shared" si="104"/>
        <v>1</v>
      </c>
      <c r="I315" s="793">
        <f t="shared" si="105"/>
        <v>0</v>
      </c>
      <c r="J315" s="793">
        <f t="shared" si="106"/>
        <v>0</v>
      </c>
      <c r="K315" s="794">
        <f t="shared" si="107"/>
        <v>0.15</v>
      </c>
      <c r="L315" s="800">
        <f t="shared" si="108"/>
        <v>0.15</v>
      </c>
      <c r="M315" s="780"/>
      <c r="N315" s="780"/>
      <c r="O315" s="780"/>
      <c r="P315" s="780"/>
      <c r="Q315" s="1767">
        <f t="shared" si="113"/>
        <v>0</v>
      </c>
      <c r="R315" s="819">
        <f t="shared" si="109"/>
        <v>0</v>
      </c>
      <c r="S315" s="819">
        <f t="shared" si="110"/>
        <v>0.15</v>
      </c>
      <c r="T315" s="859">
        <f t="shared" si="111"/>
        <v>0.27272727272727271</v>
      </c>
      <c r="U315" s="819">
        <f t="shared" si="112"/>
        <v>0.15</v>
      </c>
      <c r="AA315" s="441"/>
      <c r="AB315" s="441"/>
      <c r="AC315" s="441"/>
      <c r="AD315" s="441"/>
      <c r="AE315" s="846"/>
      <c r="AF315" s="1393"/>
      <c r="AG315" s="1000"/>
      <c r="AH315" s="441"/>
      <c r="BE315" s="439"/>
    </row>
    <row r="316" spans="2:57" s="440" customFormat="1" ht="23.55" customHeight="1" x14ac:dyDescent="0.3">
      <c r="B316" s="849" t="str">
        <f>'II.Preliminary Feasibility'!B48</f>
        <v>(vi)</v>
      </c>
      <c r="C316" s="917" t="str">
        <f>'II.Preliminary Feasibility'!D48</f>
        <v>Will the project design suitably address the impact of potential natural or human-induced hazards in the region?</v>
      </c>
      <c r="D316" s="917">
        <f t="shared" si="101"/>
        <v>1</v>
      </c>
      <c r="E316" s="808">
        <f t="shared" si="102"/>
        <v>0.15</v>
      </c>
      <c r="F316" s="777" t="str">
        <f>IF(C316=0,NA,'II.Preliminary Feasibility'!AB48)</f>
        <v>Yes</v>
      </c>
      <c r="G316" s="783" t="str">
        <f>VLOOKUP(F316,$B$179:$F$184,4,FALSE)</f>
        <v>Yes</v>
      </c>
      <c r="H316" s="783">
        <f t="shared" si="104"/>
        <v>1</v>
      </c>
      <c r="I316" s="793">
        <f t="shared" si="105"/>
        <v>0</v>
      </c>
      <c r="J316" s="793">
        <f t="shared" si="106"/>
        <v>0</v>
      </c>
      <c r="K316" s="794">
        <f t="shared" si="107"/>
        <v>0.15</v>
      </c>
      <c r="L316" s="800">
        <f t="shared" si="108"/>
        <v>0.15</v>
      </c>
      <c r="M316" s="780"/>
      <c r="N316" s="780"/>
      <c r="O316" s="780"/>
      <c r="P316" s="780"/>
      <c r="Q316" s="1767">
        <f t="shared" si="113"/>
        <v>0</v>
      </c>
      <c r="R316" s="819">
        <f t="shared" si="109"/>
        <v>0</v>
      </c>
      <c r="S316" s="819">
        <f t="shared" si="110"/>
        <v>0.15</v>
      </c>
      <c r="T316" s="859">
        <f t="shared" si="111"/>
        <v>0.27272727272727271</v>
      </c>
      <c r="U316" s="819">
        <f t="shared" si="112"/>
        <v>0.15</v>
      </c>
      <c r="AA316" s="441"/>
      <c r="AB316" s="441"/>
      <c r="AC316" s="441"/>
      <c r="AD316" s="441"/>
      <c r="AE316" s="846"/>
      <c r="AF316" s="1393"/>
      <c r="AG316" s="1000"/>
      <c r="AH316" s="441"/>
      <c r="BE316" s="439"/>
    </row>
    <row r="317" spans="2:57" s="440" customFormat="1" ht="23.55" customHeight="1" x14ac:dyDescent="0.3">
      <c r="B317" s="849"/>
      <c r="C317" s="842"/>
      <c r="D317" s="842"/>
      <c r="E317" s="854"/>
      <c r="F317" s="777"/>
      <c r="G317" s="777"/>
      <c r="H317" s="783"/>
      <c r="I317" s="793"/>
      <c r="J317" s="793"/>
      <c r="K317" s="794"/>
      <c r="L317" s="800"/>
      <c r="M317" s="780"/>
      <c r="N317" s="780"/>
      <c r="O317" s="780"/>
      <c r="P317" s="780"/>
      <c r="Q317" s="1766">
        <f>SUM(Q311:Q316)/(H310-I310)</f>
        <v>0</v>
      </c>
      <c r="R317" s="818">
        <f>SUM(R311:R313)</f>
        <v>0</v>
      </c>
      <c r="S317" s="818">
        <f>SUM(S311:S313)</f>
        <v>0.55000000000000004</v>
      </c>
      <c r="T317" s="818">
        <f>SUM(T311:T313)</f>
        <v>1</v>
      </c>
      <c r="U317" s="818">
        <f>SUM(U311:U313)</f>
        <v>0.55000000000000004</v>
      </c>
      <c r="BE317" s="439"/>
    </row>
    <row r="318" spans="2:57" s="440" customFormat="1" ht="15" customHeight="1" x14ac:dyDescent="0.3">
      <c r="B318" s="850">
        <f>'II.Preliminary Feasibility'!B50</f>
        <v>3</v>
      </c>
      <c r="C318" s="838" t="str">
        <f>'II.Preliminary Feasibility'!D50</f>
        <v>Social Sustainability</v>
      </c>
      <c r="D318" s="838">
        <f>SUM(D319:D325)</f>
        <v>5</v>
      </c>
      <c r="E318" s="866">
        <f>Admin!I12</f>
        <v>0.1</v>
      </c>
      <c r="F318" s="841"/>
      <c r="G318" s="841"/>
      <c r="H318" s="1770">
        <f>COUNTA(H319:H325)</f>
        <v>7</v>
      </c>
      <c r="I318" s="1770">
        <f>SUM(I319:I325)</f>
        <v>2</v>
      </c>
      <c r="J318" s="1055">
        <f>COUNTIF(J319:J324,1)/COUNT(J319:J324)</f>
        <v>0</v>
      </c>
      <c r="K318" s="851"/>
      <c r="L318" s="852"/>
      <c r="M318" s="1360">
        <f>MIN(Q318,IF(OR(G320=No,G321=No),O318,Q318),IF(Z253&gt;1,MIN(AA253,IF(J318&gt;$O$303,MIN(O302,IF(OR(F324="No",OR($F$319="No",$F$319="Uncertain")),MIN(O318,SUM(L319:L325)*$S$197),SUM(L319:L325)*$S$197)),IF(OR(F324="No",OR($F$319="No",$F$319="Uncertain")),MIN(O318,SUM(L319:L325)*$S$197),SUM(L319:L325)*$S$197))),IF(J318&gt;$O$303,MIN(O302,IF(OR(F324="No",OR($F$319="No",$F$319="Uncertain")),MIN(O318,SUM(L319:L325)*$S$197),SUM(L319:L325)*$S$197)),IF(OR(F324="No",OR($F$319="No",$F$319="Uncertain")),MIN(O318,SUM(L319:L325)*$S$197),SUM(L319:L325)*$S$197))))</f>
        <v>5</v>
      </c>
      <c r="N318" s="868">
        <f>M318*E318</f>
        <v>0.5</v>
      </c>
      <c r="O318" s="1022">
        <v>2</v>
      </c>
      <c r="P318" s="839"/>
      <c r="Q318" s="1769">
        <f>VLOOKUP(Q326,$D$147:$F$150,3)</f>
        <v>5</v>
      </c>
      <c r="R318" s="839"/>
      <c r="S318" s="839"/>
      <c r="T318" s="839"/>
      <c r="U318" s="839"/>
      <c r="BE318" s="439"/>
    </row>
    <row r="319" spans="2:57" s="440" customFormat="1" ht="15" customHeight="1" x14ac:dyDescent="0.3">
      <c r="B319" s="849" t="str">
        <f>'II.Preliminary Feasibility'!B51</f>
        <v>(i)</v>
      </c>
      <c r="C319" s="917" t="str">
        <f>'II.Preliminary Feasibility'!D51</f>
        <v xml:space="preserve">Is there a reliable initial social analysis related to the project? </v>
      </c>
      <c r="D319" s="917">
        <f t="shared" ref="D319:D325" si="114">IF(C319=0,0,1)</f>
        <v>1</v>
      </c>
      <c r="E319" s="808">
        <f t="shared" ref="E319:E325" si="115">D38</f>
        <v>0.1</v>
      </c>
      <c r="F319" s="777" t="str">
        <f>IF(C319=0,NA,'II.Preliminary Feasibility'!AB51)</f>
        <v>Yes</v>
      </c>
      <c r="G319" s="783" t="str">
        <f t="shared" ref="G319:G324" si="116">VLOOKUP(F319,$B$179:$F$184,4,FALSE)</f>
        <v>Yes</v>
      </c>
      <c r="H319" s="783">
        <f t="shared" ref="H319:H325" si="117">VLOOKUP(G319,$B$179:$C$184,2,FALSE)</f>
        <v>1</v>
      </c>
      <c r="I319" s="793">
        <f t="shared" ref="I319:I325" si="118">IF(G319="N/A",1,0)</f>
        <v>0</v>
      </c>
      <c r="J319" s="793">
        <f t="shared" ref="J319:J325" si="119">IF(G319="Skip",1,0)</f>
        <v>0</v>
      </c>
      <c r="K319" s="794">
        <f t="shared" ref="K319:K325" si="120">U319</f>
        <v>0.14285714285714288</v>
      </c>
      <c r="L319" s="800">
        <f t="shared" ref="L319:L325" si="121">K319*H319</f>
        <v>0.14285714285714288</v>
      </c>
      <c r="M319" s="780"/>
      <c r="N319" s="780"/>
      <c r="O319" s="831"/>
      <c r="P319" s="831"/>
      <c r="Q319" s="1767">
        <f>IF(OR(G319="Yes",G319="N/A"),0,1)</f>
        <v>0</v>
      </c>
      <c r="R319" s="819">
        <f t="shared" ref="R319:R325" si="122">IF(I319=1,E319,0)</f>
        <v>0</v>
      </c>
      <c r="S319" s="819">
        <f t="shared" ref="S319:S325" si="123">IF(I319=1,0,E319)</f>
        <v>0.1</v>
      </c>
      <c r="T319" s="859">
        <f t="shared" ref="T319:T325" si="124">IFERROR(S319/$S$326,0)</f>
        <v>0.14285714285714288</v>
      </c>
      <c r="U319" s="819">
        <f t="shared" ref="U319:U325" si="125">S319+(T319*$R$326)</f>
        <v>0.14285714285714288</v>
      </c>
      <c r="AC319" s="515"/>
      <c r="AD319" s="515"/>
      <c r="AE319" s="515"/>
      <c r="AF319" s="515"/>
      <c r="AG319" s="515"/>
      <c r="AH319" s="515"/>
      <c r="AI319" s="515"/>
      <c r="BE319" s="439"/>
    </row>
    <row r="320" spans="2:57" s="440" customFormat="1" ht="15" customHeight="1" x14ac:dyDescent="0.3">
      <c r="B320" s="849" t="str">
        <f>'II.Preliminary Feasibility'!B52</f>
        <v>(ii)</v>
      </c>
      <c r="C320" s="1032" t="str">
        <f>'II.Preliminary Feasibility'!D52</f>
        <v xml:space="preserve">Will the project have a significant adverse impact on the health or quality of life of users, workers, or the local population? </v>
      </c>
      <c r="D320" s="1032">
        <f t="shared" si="114"/>
        <v>1</v>
      </c>
      <c r="E320" s="808">
        <f t="shared" si="115"/>
        <v>0.2</v>
      </c>
      <c r="F320" s="777" t="str">
        <f>IF(C320=0,NA,'II.Preliminary Feasibility'!AB52)</f>
        <v>No</v>
      </c>
      <c r="G320" s="783" t="str">
        <f>VLOOKUP(F320,$B$179:$F$184,5,FALSE)</f>
        <v>Yes</v>
      </c>
      <c r="H320" s="783">
        <f t="shared" si="117"/>
        <v>1</v>
      </c>
      <c r="I320" s="793">
        <f t="shared" si="118"/>
        <v>0</v>
      </c>
      <c r="J320" s="793">
        <f t="shared" si="119"/>
        <v>0</v>
      </c>
      <c r="K320" s="794">
        <f t="shared" si="120"/>
        <v>0.28571428571428575</v>
      </c>
      <c r="L320" s="800">
        <f t="shared" si="121"/>
        <v>0.28571428571428575</v>
      </c>
      <c r="M320" s="780"/>
      <c r="N320" s="780"/>
      <c r="O320" s="831"/>
      <c r="P320" s="831"/>
      <c r="Q320" s="1767">
        <f t="shared" ref="Q320:Q325" si="126">IF(OR(G320="Yes",G320="N/A"),0,1)</f>
        <v>0</v>
      </c>
      <c r="R320" s="819">
        <f t="shared" si="122"/>
        <v>0</v>
      </c>
      <c r="S320" s="819">
        <f t="shared" si="123"/>
        <v>0.2</v>
      </c>
      <c r="T320" s="859">
        <f t="shared" si="124"/>
        <v>0.28571428571428575</v>
      </c>
      <c r="U320" s="819">
        <f t="shared" si="125"/>
        <v>0.28571428571428575</v>
      </c>
      <c r="AC320" s="515"/>
      <c r="AD320" s="1014"/>
      <c r="AE320" s="1015" t="s">
        <v>418</v>
      </c>
      <c r="AF320" s="1015"/>
      <c r="AG320" s="1016"/>
      <c r="AH320" s="1010"/>
      <c r="AI320" s="1010"/>
      <c r="BE320" s="439"/>
    </row>
    <row r="321" spans="2:57" s="440" customFormat="1" ht="15" customHeight="1" x14ac:dyDescent="0.3">
      <c r="B321" s="849" t="str">
        <f>'II.Preliminary Feasibility'!B53</f>
        <v>(iii)</v>
      </c>
      <c r="C321" s="1032" t="str">
        <f>'II.Preliminary Feasibility'!D53</f>
        <v>Is the project likely to be socially sustainable or have manageable social impacts?</v>
      </c>
      <c r="D321" s="1032">
        <f t="shared" si="114"/>
        <v>1</v>
      </c>
      <c r="E321" s="808">
        <f t="shared" si="115"/>
        <v>0.2</v>
      </c>
      <c r="F321" s="777" t="str">
        <f>IF(C321=0,NA,'II.Preliminary Feasibility'!AB53)</f>
        <v>Yes</v>
      </c>
      <c r="G321" s="783" t="str">
        <f t="shared" si="116"/>
        <v>Yes</v>
      </c>
      <c r="H321" s="783">
        <f t="shared" si="117"/>
        <v>1</v>
      </c>
      <c r="I321" s="793">
        <f t="shared" si="118"/>
        <v>0</v>
      </c>
      <c r="J321" s="793">
        <f t="shared" si="119"/>
        <v>0</v>
      </c>
      <c r="K321" s="794">
        <f t="shared" si="120"/>
        <v>0.28571428571428575</v>
      </c>
      <c r="L321" s="800">
        <f t="shared" si="121"/>
        <v>0.28571428571428575</v>
      </c>
      <c r="M321" s="780"/>
      <c r="N321" s="780"/>
      <c r="O321" s="780"/>
      <c r="P321" s="780"/>
      <c r="Q321" s="1767">
        <f t="shared" si="126"/>
        <v>0</v>
      </c>
      <c r="R321" s="819">
        <f t="shared" si="122"/>
        <v>0</v>
      </c>
      <c r="S321" s="819">
        <f t="shared" si="123"/>
        <v>0.2</v>
      </c>
      <c r="T321" s="859">
        <f t="shared" si="124"/>
        <v>0.28571428571428575</v>
      </c>
      <c r="U321" s="819">
        <f t="shared" si="125"/>
        <v>0.28571428571428575</v>
      </c>
      <c r="AC321" s="515"/>
      <c r="AD321" s="2491" t="s">
        <v>420</v>
      </c>
      <c r="AE321" s="461">
        <v>0</v>
      </c>
      <c r="AF321" s="1019">
        <f>AE322-0.00001</f>
        <v>-1.0000000000000001E-5</v>
      </c>
      <c r="AG321" s="461" t="s">
        <v>391</v>
      </c>
      <c r="AH321" s="515"/>
      <c r="AI321" s="515"/>
      <c r="BE321" s="439"/>
    </row>
    <row r="322" spans="2:57" s="440" customFormat="1" ht="15" customHeight="1" x14ac:dyDescent="0.3">
      <c r="B322" s="849" t="str">
        <f>'II.Preliminary Feasibility'!B54</f>
        <v>(iv)</v>
      </c>
      <c r="C322" s="917" t="str">
        <f>'II.Preliminary Feasibility'!D54</f>
        <v>Does the project require land acquisition?</v>
      </c>
      <c r="D322" s="917">
        <f t="shared" si="114"/>
        <v>1</v>
      </c>
      <c r="E322" s="808">
        <f t="shared" si="115"/>
        <v>0.1</v>
      </c>
      <c r="F322" s="777" t="str">
        <f>IF(C322=0,NA,'II.Preliminary Feasibility'!AB54)</f>
        <v>No</v>
      </c>
      <c r="G322" s="783" t="str">
        <f>VLOOKUP(F322,$B$179:$F$184,5,FALSE)</f>
        <v>Yes</v>
      </c>
      <c r="H322" s="783">
        <f t="shared" si="117"/>
        <v>1</v>
      </c>
      <c r="I322" s="793">
        <f t="shared" si="118"/>
        <v>0</v>
      </c>
      <c r="J322" s="793">
        <f t="shared" si="119"/>
        <v>0</v>
      </c>
      <c r="K322" s="794">
        <f t="shared" si="120"/>
        <v>0.14285714285714288</v>
      </c>
      <c r="L322" s="800">
        <f t="shared" si="121"/>
        <v>0.14285714285714288</v>
      </c>
      <c r="M322" s="780"/>
      <c r="N322" s="780"/>
      <c r="O322" s="780"/>
      <c r="P322" s="780"/>
      <c r="Q322" s="1767">
        <f t="shared" si="126"/>
        <v>0</v>
      </c>
      <c r="R322" s="819">
        <f t="shared" si="122"/>
        <v>0</v>
      </c>
      <c r="S322" s="819">
        <f t="shared" si="123"/>
        <v>0.1</v>
      </c>
      <c r="T322" s="859">
        <f t="shared" si="124"/>
        <v>0.14285714285714288</v>
      </c>
      <c r="U322" s="819">
        <f t="shared" si="125"/>
        <v>0.14285714285714288</v>
      </c>
      <c r="AC322" s="515"/>
      <c r="AD322" s="2491"/>
      <c r="AE322" s="1094">
        <f>ABS(AE323)/2</f>
        <v>0</v>
      </c>
      <c r="AF322" s="1019">
        <f>AE323-0.00001</f>
        <v>-1.0000000000000001E-5</v>
      </c>
      <c r="AG322" s="461" t="s">
        <v>395</v>
      </c>
      <c r="AH322" s="515"/>
      <c r="AI322" s="515"/>
      <c r="BE322" s="439"/>
    </row>
    <row r="323" spans="2:57" s="440" customFormat="1" ht="15" customHeight="1" x14ac:dyDescent="0.3">
      <c r="B323" s="849" t="str">
        <f>'II.Preliminary Feasibility'!B55</f>
        <v>(v)</v>
      </c>
      <c r="C323" s="917" t="str">
        <f>'II.Preliminary Feasibility'!D55</f>
        <v>Will the identified social management strategy, or its related approvals, result in uncertainties or delays that could impede project implementation?</v>
      </c>
      <c r="D323" s="917">
        <f t="shared" si="114"/>
        <v>1</v>
      </c>
      <c r="E323" s="808">
        <f t="shared" si="115"/>
        <v>0.1</v>
      </c>
      <c r="F323" s="777" t="str">
        <f>IF(C323=0,NA,'II.Preliminary Feasibility'!AB55)</f>
        <v>No</v>
      </c>
      <c r="G323" s="783" t="str">
        <f>IF(C323=Questions!H33,VLOOKUP(F323,$B$179:$F$184,5,FALSE),VLOOKUP(F323,$B$179:$F$184,4,FALSE))</f>
        <v>Yes</v>
      </c>
      <c r="H323" s="783">
        <f t="shared" si="117"/>
        <v>1</v>
      </c>
      <c r="I323" s="793">
        <f t="shared" si="118"/>
        <v>0</v>
      </c>
      <c r="J323" s="793">
        <f t="shared" si="119"/>
        <v>0</v>
      </c>
      <c r="K323" s="794">
        <f t="shared" si="120"/>
        <v>0.14285714285714288</v>
      </c>
      <c r="L323" s="800">
        <f t="shared" si="121"/>
        <v>0.14285714285714288</v>
      </c>
      <c r="M323" s="780"/>
      <c r="N323" s="780"/>
      <c r="O323" s="780"/>
      <c r="P323" s="780"/>
      <c r="Q323" s="1767">
        <f t="shared" si="126"/>
        <v>0</v>
      </c>
      <c r="R323" s="819">
        <f t="shared" si="122"/>
        <v>0</v>
      </c>
      <c r="S323" s="819">
        <f t="shared" si="123"/>
        <v>0.1</v>
      </c>
      <c r="T323" s="859">
        <f t="shared" si="124"/>
        <v>0.14285714285714288</v>
      </c>
      <c r="U323" s="819">
        <f t="shared" si="125"/>
        <v>0.14285714285714288</v>
      </c>
      <c r="AC323" s="515"/>
      <c r="AD323" s="2491"/>
      <c r="AE323" s="1093">
        <f>IF(ISERROR('0.Basic Project Data'!H43),12%,'0.Basic Project Data'!H43)</f>
        <v>0</v>
      </c>
      <c r="AF323" s="1096">
        <f>AE323+$AF$321</f>
        <v>-1.0000000000000001E-5</v>
      </c>
      <c r="AG323" s="461" t="s">
        <v>390</v>
      </c>
      <c r="AH323" s="515"/>
      <c r="AI323" s="515"/>
      <c r="BE323" s="439"/>
    </row>
    <row r="324" spans="2:57" s="440" customFormat="1" ht="15" customHeight="1" x14ac:dyDescent="0.3">
      <c r="B324" s="849" t="str">
        <f>'II.Preliminary Feasibility'!B56</f>
        <v>(vi)</v>
      </c>
      <c r="C324" s="1032">
        <f>'II.Preliminary Feasibility'!D56</f>
        <v>0</v>
      </c>
      <c r="D324" s="1032">
        <f t="shared" si="114"/>
        <v>0</v>
      </c>
      <c r="E324" s="808">
        <f t="shared" si="115"/>
        <v>0.2</v>
      </c>
      <c r="F324" s="777" t="str">
        <f>IF(C324=0,NA,'II.Preliminary Feasibility'!AB56)</f>
        <v>N/A</v>
      </c>
      <c r="G324" s="783" t="str">
        <f t="shared" si="116"/>
        <v>N/A</v>
      </c>
      <c r="H324" s="783">
        <f t="shared" si="117"/>
        <v>0</v>
      </c>
      <c r="I324" s="793">
        <f t="shared" si="118"/>
        <v>1</v>
      </c>
      <c r="J324" s="793">
        <f t="shared" si="119"/>
        <v>0</v>
      </c>
      <c r="K324" s="794">
        <f t="shared" si="120"/>
        <v>0</v>
      </c>
      <c r="L324" s="800">
        <f t="shared" si="121"/>
        <v>0</v>
      </c>
      <c r="M324" s="780"/>
      <c r="N324" s="780"/>
      <c r="O324" s="780"/>
      <c r="P324" s="780"/>
      <c r="Q324" s="1767">
        <f t="shared" si="126"/>
        <v>0</v>
      </c>
      <c r="R324" s="819">
        <f t="shared" si="122"/>
        <v>0.2</v>
      </c>
      <c r="S324" s="819">
        <f t="shared" si="123"/>
        <v>0</v>
      </c>
      <c r="T324" s="859">
        <f t="shared" si="124"/>
        <v>0</v>
      </c>
      <c r="U324" s="819">
        <f t="shared" si="125"/>
        <v>0</v>
      </c>
      <c r="AC324" s="515"/>
      <c r="AD324" s="2491"/>
      <c r="AE324" s="1098">
        <f>AF323+0.001%</f>
        <v>0</v>
      </c>
      <c r="AF324" s="1017">
        <f>AE324+$AF$321</f>
        <v>-1.0000000000000001E-5</v>
      </c>
      <c r="AG324" s="461" t="s">
        <v>396</v>
      </c>
      <c r="AH324" s="515"/>
      <c r="AI324" s="515"/>
      <c r="BE324" s="439"/>
    </row>
    <row r="325" spans="2:57" s="440" customFormat="1" ht="15" customHeight="1" x14ac:dyDescent="0.3">
      <c r="B325" s="849" t="str">
        <f>'II.Preliminary Feasibility'!B57</f>
        <v>(vii)</v>
      </c>
      <c r="C325" s="917">
        <f>'II.Preliminary Feasibility'!D57</f>
        <v>0</v>
      </c>
      <c r="D325" s="917">
        <f t="shared" si="114"/>
        <v>0</v>
      </c>
      <c r="E325" s="808">
        <f t="shared" si="115"/>
        <v>0.1</v>
      </c>
      <c r="F325" s="777" t="str">
        <f>IF(C325=0,NA,'II.Preliminary Feasibility'!AB57)</f>
        <v>N/A</v>
      </c>
      <c r="G325" s="783" t="str">
        <f>VLOOKUP(F325,$B$179:$F$184,5,FALSE)</f>
        <v>N/A</v>
      </c>
      <c r="H325" s="783">
        <f t="shared" si="117"/>
        <v>0</v>
      </c>
      <c r="I325" s="793">
        <f t="shared" si="118"/>
        <v>1</v>
      </c>
      <c r="J325" s="793">
        <f t="shared" si="119"/>
        <v>0</v>
      </c>
      <c r="K325" s="794">
        <f t="shared" si="120"/>
        <v>0</v>
      </c>
      <c r="L325" s="800">
        <f t="shared" si="121"/>
        <v>0</v>
      </c>
      <c r="M325" s="780"/>
      <c r="N325" s="780"/>
      <c r="O325" s="780"/>
      <c r="P325" s="780"/>
      <c r="Q325" s="1767">
        <f t="shared" si="126"/>
        <v>0</v>
      </c>
      <c r="R325" s="819">
        <f t="shared" si="122"/>
        <v>0.1</v>
      </c>
      <c r="S325" s="819">
        <f t="shared" si="123"/>
        <v>0</v>
      </c>
      <c r="T325" s="859">
        <f t="shared" si="124"/>
        <v>0</v>
      </c>
      <c r="U325" s="819">
        <f t="shared" si="125"/>
        <v>0</v>
      </c>
      <c r="AC325" s="515"/>
      <c r="AD325" s="2491"/>
      <c r="AE325" s="1017">
        <f>AF324+0.001%</f>
        <v>0</v>
      </c>
      <c r="AF325" s="1017">
        <f>AE325+$AF$321</f>
        <v>-1.0000000000000001E-5</v>
      </c>
      <c r="AG325" s="461" t="s">
        <v>389</v>
      </c>
      <c r="AH325" s="515"/>
      <c r="AI325" s="515"/>
      <c r="BE325" s="439"/>
    </row>
    <row r="326" spans="2:57" s="440" customFormat="1" ht="15" customHeight="1" x14ac:dyDescent="0.3">
      <c r="B326" s="849"/>
      <c r="C326" s="842"/>
      <c r="D326" s="842"/>
      <c r="E326" s="777"/>
      <c r="F326" s="777"/>
      <c r="G326" s="777"/>
      <c r="H326" s="783"/>
      <c r="I326" s="793"/>
      <c r="J326" s="793"/>
      <c r="K326" s="794"/>
      <c r="L326" s="800"/>
      <c r="M326" s="780"/>
      <c r="N326" s="780"/>
      <c r="O326" s="780"/>
      <c r="P326" s="780"/>
      <c r="Q326" s="1766">
        <f>SUM(Q319:Q325)/(H318-I318)</f>
        <v>0</v>
      </c>
      <c r="R326" s="818">
        <f>SUM(R319:R325)</f>
        <v>0.30000000000000004</v>
      </c>
      <c r="S326" s="818">
        <f>SUM(S319:S325)</f>
        <v>0.7</v>
      </c>
      <c r="T326" s="818">
        <f>SUM(T319:T325)</f>
        <v>1.0000000000000002</v>
      </c>
      <c r="U326" s="818">
        <f>SUM(U319:U325)</f>
        <v>1.0000000000000002</v>
      </c>
      <c r="AC326" s="515"/>
      <c r="AD326" s="1108"/>
      <c r="AE326" s="1017"/>
      <c r="AF326" s="1017"/>
      <c r="AG326" s="461"/>
      <c r="AH326" s="515"/>
      <c r="AI326" s="515"/>
      <c r="BE326" s="439"/>
    </row>
    <row r="327" spans="2:57" s="440" customFormat="1" ht="15" customHeight="1" x14ac:dyDescent="0.3">
      <c r="B327" s="850">
        <f>'II.Preliminary Feasibility'!B59</f>
        <v>4</v>
      </c>
      <c r="C327" s="838" t="str">
        <f>'II.Preliminary Feasibility'!D59</f>
        <v>Economic Prefeasibility</v>
      </c>
      <c r="D327" s="838">
        <f>SUM(D328:D331)</f>
        <v>3</v>
      </c>
      <c r="E327" s="866">
        <f>Admin!I13</f>
        <v>0.1</v>
      </c>
      <c r="F327" s="841"/>
      <c r="G327" s="841"/>
      <c r="H327" s="1770">
        <f>COUNTA(H328:H331)</f>
        <v>4</v>
      </c>
      <c r="I327" s="1770">
        <f>SUM(I328:I331)</f>
        <v>1</v>
      </c>
      <c r="J327" s="1055">
        <f>COUNTIF(J328:J330,1)/COUNT(J328:J330)</f>
        <v>0</v>
      </c>
      <c r="K327" s="851"/>
      <c r="L327" s="852"/>
      <c r="M327" s="1102">
        <f>AC312+(1-$AC$311)*M328</f>
        <v>5</v>
      </c>
      <c r="N327" s="868">
        <f>M327*E327</f>
        <v>0.5</v>
      </c>
      <c r="O327" s="1022">
        <v>2</v>
      </c>
      <c r="P327" s="839"/>
      <c r="Q327" s="1769">
        <f>VLOOKUP(Q332,$D$147:$F$150,3)</f>
        <v>5</v>
      </c>
      <c r="R327" s="839"/>
      <c r="S327" s="839"/>
      <c r="T327" s="839"/>
      <c r="U327" s="839"/>
      <c r="AC327" s="515"/>
      <c r="AD327" s="2491" t="s">
        <v>419</v>
      </c>
      <c r="AE327" s="1100">
        <f>AF328+0.00001</f>
        <v>0.79999999999999993</v>
      </c>
      <c r="AF327" s="1099">
        <f>AE327+0.39999</f>
        <v>1.1999899999999999</v>
      </c>
      <c r="AG327" s="461" t="s">
        <v>389</v>
      </c>
      <c r="AH327" s="1011"/>
      <c r="AI327" s="1011"/>
      <c r="BE327" s="439"/>
    </row>
    <row r="328" spans="2:57" s="440" customFormat="1" ht="15" customHeight="1" x14ac:dyDescent="0.3">
      <c r="B328" s="849" t="s">
        <v>348</v>
      </c>
      <c r="C328" s="1373" t="str">
        <f>IF(E250=1,'0.Basic Project Data'!D19,'II.Preliminary Feasibility'!D62)</f>
        <v>Is the project likely to be economically sound and have direct benefits that are significantly greater than the costs?</v>
      </c>
      <c r="D328" s="917">
        <f t="shared" ref="D328:D331" si="127">IF(C328=0,0,1)</f>
        <v>1</v>
      </c>
      <c r="E328" s="808">
        <f>D45</f>
        <v>0.25</v>
      </c>
      <c r="F328" s="949" t="str">
        <f>IF(E250=1,'0.Basic Project Data'!H18,'II.Preliminary Feasibility'!AB62)</f>
        <v>Yes</v>
      </c>
      <c r="G328" s="783" t="str">
        <f t="shared" ref="G328:G331" si="128">VLOOKUP(F328,$B$179:$F$184,4,FALSE)</f>
        <v>Yes</v>
      </c>
      <c r="H328" s="783">
        <f t="shared" ref="H328:H331" si="129">VLOOKUP(G328,$B$179:$C$184,2,FALSE)</f>
        <v>1</v>
      </c>
      <c r="I328" s="793">
        <f t="shared" ref="I328:I331" si="130">IF(G328="N/A",1,0)</f>
        <v>0</v>
      </c>
      <c r="J328" s="793">
        <f t="shared" ref="J328:J331" si="131">IF(G328="Skip",1,0)</f>
        <v>0</v>
      </c>
      <c r="K328" s="794">
        <f>U328</f>
        <v>0.33333333333333331</v>
      </c>
      <c r="L328" s="800">
        <f>K328*H328</f>
        <v>0.33333333333333331</v>
      </c>
      <c r="M328" s="1773">
        <f>MIN(Q327,IF(OR(SUM($J$328:$J$330)&gt;=2,COUNTIF(G328:G330,Uncertain)&gt;=2,F328=No),MIN(O327,SUM(L328:L331)*$S$197),SUM(L328:L331)*$S$197))</f>
        <v>5</v>
      </c>
      <c r="N328" s="780"/>
      <c r="O328" s="780"/>
      <c r="P328" s="780"/>
      <c r="Q328" s="1767">
        <f>IF(OR(G328="Yes",G328="N/A"),0,1)</f>
        <v>0</v>
      </c>
      <c r="R328" s="819">
        <f>IF(I328=1,E328,0)</f>
        <v>0</v>
      </c>
      <c r="S328" s="819">
        <f>IF(I328=1,0,E328)</f>
        <v>0.25</v>
      </c>
      <c r="T328" s="859">
        <f>IFERROR(S328/$S$332,0)</f>
        <v>0.33333333333333331</v>
      </c>
      <c r="U328" s="819">
        <f>S328+(T328*$R$332)</f>
        <v>0.33333333333333331</v>
      </c>
      <c r="AC328" s="515"/>
      <c r="AD328" s="2491"/>
      <c r="AE328" s="1100">
        <f>AF329+0.00001</f>
        <v>0.4</v>
      </c>
      <c r="AF328" s="1099">
        <f>AE328+0.39999</f>
        <v>0.79998999999999998</v>
      </c>
      <c r="AG328" s="461" t="s">
        <v>396</v>
      </c>
      <c r="AH328" s="1011"/>
      <c r="AI328" s="1011"/>
      <c r="BE328" s="439"/>
    </row>
    <row r="329" spans="2:57" s="440" customFormat="1" ht="15" customHeight="1" x14ac:dyDescent="0.3">
      <c r="B329" s="849" t="str">
        <f>'II.Preliminary Feasibility'!B60</f>
        <v>(i)</v>
      </c>
      <c r="C329" s="917" t="str">
        <f>'II.Preliminary Feasibility'!D60</f>
        <v>Is the economic rate of return (ERR) likely to be higher than the threshold ERR requirements of the government?</v>
      </c>
      <c r="D329" s="917">
        <f t="shared" si="127"/>
        <v>1</v>
      </c>
      <c r="E329" s="808">
        <f>D46</f>
        <v>0.25</v>
      </c>
      <c r="F329" s="949" t="str">
        <f>'II.Preliminary Feasibility'!AB60</f>
        <v>Yes</v>
      </c>
      <c r="G329" s="783" t="str">
        <f t="shared" si="128"/>
        <v>Yes</v>
      </c>
      <c r="H329" s="783">
        <f t="shared" si="129"/>
        <v>1</v>
      </c>
      <c r="I329" s="793">
        <f t="shared" si="130"/>
        <v>0</v>
      </c>
      <c r="J329" s="793">
        <f t="shared" si="131"/>
        <v>0</v>
      </c>
      <c r="K329" s="794">
        <f>U329</f>
        <v>0.33333333333333331</v>
      </c>
      <c r="L329" s="800">
        <f>K329*H329</f>
        <v>0.33333333333333331</v>
      </c>
      <c r="M329" s="780"/>
      <c r="N329" s="780"/>
      <c r="O329" s="831"/>
      <c r="P329" s="831"/>
      <c r="Q329" s="1767">
        <f t="shared" ref="Q329:Q331" si="132">IF(OR(G329="Yes",G329="N/A"),0,1)</f>
        <v>0</v>
      </c>
      <c r="R329" s="819">
        <f>IF(I329=1,E329,0)</f>
        <v>0</v>
      </c>
      <c r="S329" s="819">
        <f>IF(I329=1,0,E329)</f>
        <v>0.25</v>
      </c>
      <c r="T329" s="859">
        <f>IFERROR(S329/$S$332,0)</f>
        <v>0.33333333333333331</v>
      </c>
      <c r="U329" s="819">
        <f>S329+(T329*$R$332)</f>
        <v>0.33333333333333331</v>
      </c>
      <c r="AC329" s="515"/>
      <c r="AD329" s="2491"/>
      <c r="AE329" s="1095">
        <f>IF(ISERROR('0.Basic Project Data'!H46),1.1,'0.Basic Project Data'!H46)</f>
        <v>0</v>
      </c>
      <c r="AF329" s="1099">
        <f>AE329+0.39999</f>
        <v>0.39999000000000001</v>
      </c>
      <c r="AG329" s="461" t="s">
        <v>390</v>
      </c>
      <c r="AH329" s="1012"/>
      <c r="AI329" s="1012"/>
      <c r="BE329" s="439"/>
    </row>
    <row r="330" spans="2:57" s="440" customFormat="1" ht="15" customHeight="1" x14ac:dyDescent="0.3">
      <c r="B330" s="849" t="str">
        <f>'II.Preliminary Feasibility'!B61</f>
        <v>(ii)</v>
      </c>
      <c r="C330" s="917" t="str">
        <f>'II.Preliminary Feasibility'!D61</f>
        <v>Will communities within the area of influence of the project be able to share direct or indirect economic benefits from the project?</v>
      </c>
      <c r="D330" s="917">
        <f t="shared" si="127"/>
        <v>1</v>
      </c>
      <c r="E330" s="808">
        <f>D47</f>
        <v>0.25</v>
      </c>
      <c r="F330" s="949" t="str">
        <f>'II.Preliminary Feasibility'!AB61</f>
        <v>Yes</v>
      </c>
      <c r="G330" s="783" t="str">
        <f t="shared" si="128"/>
        <v>Yes</v>
      </c>
      <c r="H330" s="783">
        <f t="shared" si="129"/>
        <v>1</v>
      </c>
      <c r="I330" s="793">
        <f t="shared" si="130"/>
        <v>0</v>
      </c>
      <c r="J330" s="793">
        <f t="shared" si="131"/>
        <v>0</v>
      </c>
      <c r="K330" s="794">
        <f>U330</f>
        <v>0.33333333333333331</v>
      </c>
      <c r="L330" s="800">
        <f>K330*H330</f>
        <v>0.33333333333333331</v>
      </c>
      <c r="M330" s="780"/>
      <c r="N330" s="780"/>
      <c r="O330" s="831"/>
      <c r="P330" s="831"/>
      <c r="Q330" s="1767">
        <f t="shared" si="132"/>
        <v>0</v>
      </c>
      <c r="R330" s="819">
        <f>IF(I330=1,E330,0)</f>
        <v>0</v>
      </c>
      <c r="S330" s="819">
        <f>IF(I330=1,0,E330)</f>
        <v>0.25</v>
      </c>
      <c r="T330" s="859">
        <f>IFERROR(S330/$S$332,0)</f>
        <v>0.33333333333333331</v>
      </c>
      <c r="U330" s="819">
        <f>S330+(T330*$R$332)</f>
        <v>0.33333333333333331</v>
      </c>
      <c r="AC330" s="515"/>
      <c r="AD330" s="2491"/>
      <c r="AE330" s="1100">
        <f>AF330-0.39999</f>
        <v>-0.4</v>
      </c>
      <c r="AF330" s="1099">
        <f>AE329-0.00001</f>
        <v>-1.0000000000000001E-5</v>
      </c>
      <c r="AG330" s="461" t="s">
        <v>395</v>
      </c>
      <c r="AH330" s="515"/>
      <c r="AI330" s="1013"/>
      <c r="BE330" s="439"/>
    </row>
    <row r="331" spans="2:57" s="440" customFormat="1" ht="15" customHeight="1" x14ac:dyDescent="0.3">
      <c r="B331" s="849" t="str">
        <f>'II.Preliminary Feasibility'!B62</f>
        <v>(iii)</v>
      </c>
      <c r="C331" s="917">
        <f>IF(AND('0.Basic Project Data'!H47=0,'0.Basic Project Data'!H48=0),0,Questions!H176)</f>
        <v>0</v>
      </c>
      <c r="D331" s="917">
        <f t="shared" si="127"/>
        <v>0</v>
      </c>
      <c r="E331" s="808">
        <f>D48</f>
        <v>0.25</v>
      </c>
      <c r="F331" s="949" t="str">
        <f>IF(OR(C331=0,'0.Basic Project Data'!H47=0,ISERROR(ABS('0.Basic Project Data'!H47)&gt;=0)),"N/A",IF('0.Basic Project Data'!H47&gt;'0.Basic Project Data'!H48,Yes,No))</f>
        <v>N/A</v>
      </c>
      <c r="G331" s="783" t="str">
        <f t="shared" si="128"/>
        <v>N/A</v>
      </c>
      <c r="H331" s="783">
        <f t="shared" si="129"/>
        <v>0</v>
      </c>
      <c r="I331" s="793">
        <f t="shared" si="130"/>
        <v>1</v>
      </c>
      <c r="J331" s="793">
        <f t="shared" si="131"/>
        <v>0</v>
      </c>
      <c r="K331" s="794">
        <f>U331</f>
        <v>0</v>
      </c>
      <c r="L331" s="800">
        <f>K331*H331</f>
        <v>0</v>
      </c>
      <c r="M331" s="780"/>
      <c r="N331" s="780"/>
      <c r="O331" s="831"/>
      <c r="P331" s="831"/>
      <c r="Q331" s="1767">
        <f t="shared" si="132"/>
        <v>0</v>
      </c>
      <c r="R331" s="819">
        <f>IF(I331=1,E331,0)</f>
        <v>0.25</v>
      </c>
      <c r="S331" s="819">
        <f>IF(I331=1,0,E331)</f>
        <v>0</v>
      </c>
      <c r="T331" s="859">
        <f>IFERROR(S331/$S$332,0)</f>
        <v>0</v>
      </c>
      <c r="U331" s="819">
        <f>S331+(T331*$R$332)</f>
        <v>0</v>
      </c>
      <c r="AC331" s="515"/>
      <c r="AD331" s="2491"/>
      <c r="AE331" s="1100"/>
      <c r="AF331" s="1099"/>
      <c r="AG331" s="461"/>
      <c r="AH331" s="515"/>
      <c r="AI331" s="1013"/>
      <c r="BE331" s="439"/>
    </row>
    <row r="332" spans="2:57" s="440" customFormat="1" ht="15" customHeight="1" x14ac:dyDescent="0.3">
      <c r="B332" s="849"/>
      <c r="C332" s="917"/>
      <c r="D332" s="917"/>
      <c r="E332" s="854"/>
      <c r="F332" s="777"/>
      <c r="G332" s="777"/>
      <c r="H332" s="783"/>
      <c r="I332" s="793"/>
      <c r="J332" s="793"/>
      <c r="K332" s="794"/>
      <c r="L332" s="800"/>
      <c r="M332" s="780"/>
      <c r="N332" s="780"/>
      <c r="O332" s="831"/>
      <c r="P332" s="831"/>
      <c r="Q332" s="1766">
        <f>SUM(Q328:Q331)/(H327-I327)</f>
        <v>0</v>
      </c>
      <c r="R332" s="818">
        <f>SUM(R328:R331)</f>
        <v>0.25</v>
      </c>
      <c r="S332" s="818">
        <f>SUM(S328:S331)</f>
        <v>0.75</v>
      </c>
      <c r="T332" s="818">
        <f>SUM(T328:T331)</f>
        <v>1</v>
      </c>
      <c r="U332" s="818">
        <f>SUM(U328:U331)</f>
        <v>1</v>
      </c>
      <c r="AC332" s="515"/>
      <c r="AD332" s="2491"/>
      <c r="AE332" s="1020">
        <v>0</v>
      </c>
      <c r="AF332" s="1099">
        <f>AE330-0.00001</f>
        <v>-0.40001000000000003</v>
      </c>
      <c r="AG332" s="461" t="s">
        <v>391</v>
      </c>
      <c r="AH332" s="515"/>
      <c r="AI332" s="1013">
        <f>IF(AND(AI333=Uncertain,AI334=Uncertain),1,0)</f>
        <v>1</v>
      </c>
      <c r="BE332" s="439"/>
    </row>
    <row r="333" spans="2:57" s="440" customFormat="1" ht="15" customHeight="1" x14ac:dyDescent="0.3">
      <c r="B333" s="850">
        <f>'II.Preliminary Feasibility'!B64</f>
        <v>5</v>
      </c>
      <c r="C333" s="838" t="str">
        <f>'II.Preliminary Feasibility'!D64</f>
        <v>Financial Prefeasibility</v>
      </c>
      <c r="D333" s="838">
        <f ca="1">SUM(D334:D342)</f>
        <v>8</v>
      </c>
      <c r="E333" s="866">
        <f>Admin!I14</f>
        <v>0.3</v>
      </c>
      <c r="F333" s="841"/>
      <c r="G333" s="841"/>
      <c r="H333" s="1770">
        <f ca="1">COUNTA(H334:H342)</f>
        <v>9</v>
      </c>
      <c r="I333" s="1770">
        <f ca="1">SUM(I334:I342)</f>
        <v>1</v>
      </c>
      <c r="J333" s="1055">
        <f ca="1">COUNTIF(J334:J342,1)/COUNT(J334:J342)</f>
        <v>0</v>
      </c>
      <c r="K333" s="851"/>
      <c r="L333" s="852"/>
      <c r="M333" s="1102">
        <f ca="1">$AF$349+$AF$346</f>
        <v>4.9999999999999991</v>
      </c>
      <c r="N333" s="868">
        <f ca="1">M333*E333</f>
        <v>1.4999999999999998</v>
      </c>
      <c r="O333" s="1022">
        <v>2</v>
      </c>
      <c r="P333" s="839"/>
      <c r="Q333" s="1769">
        <f ca="1">VLOOKUP(Q343,$D$147:$F$150,3)</f>
        <v>5</v>
      </c>
      <c r="R333" s="839"/>
      <c r="S333" s="839"/>
      <c r="T333" s="839"/>
      <c r="U333" s="839"/>
      <c r="AC333" s="515"/>
      <c r="AD333" s="1008"/>
      <c r="AE333" s="757" t="str">
        <f>AD321</f>
        <v>IRR</v>
      </c>
      <c r="AF333" s="1027">
        <f>'0.Basic Project Data'!H41</f>
        <v>0</v>
      </c>
      <c r="AG333" s="757" t="s">
        <v>29</v>
      </c>
      <c r="AH333" s="743" t="str">
        <f>IF(AF333&gt;=AE325,AG325,IF(AF333&gt;=AE324,AG324,IF(AF333&gt;=AE323,AG323,IF(AF333&gt;=AE322,AG322,IF(AF333&gt;=AE321,AG321,"??")))))</f>
        <v>High</v>
      </c>
      <c r="AI333" s="515" t="str">
        <f>IF(OR(AND('0.Basic Project Data'!H41&lt;=0,'0.Basic Project Data'!H42&lt;=0,'0.Basic Project Data'!H43&lt;=0,ISERROR('0.Basic Project Data'!H41/'0.Basic Project Data'!H43)),'0.Basic Project Data'!H43&lt;=0,),Uncertain)</f>
        <v>Uncertain</v>
      </c>
      <c r="BE333" s="439"/>
    </row>
    <row r="334" spans="2:57" s="440" customFormat="1" ht="15" customHeight="1" x14ac:dyDescent="0.3">
      <c r="B334" s="849" t="str">
        <f>'II.Preliminary Feasibility'!B65</f>
        <v>(i)</v>
      </c>
      <c r="C334" s="917" t="str">
        <f>'II.Preliminary Feasibility'!D65</f>
        <v>Is there a preliminary financial analysis based on assessment of the net present value (NPV) or internal rate of return (IRR) of the project's cash flows?</v>
      </c>
      <c r="D334" s="917">
        <f t="shared" ref="D334:D342" si="133">IF(C334=0,0,1)</f>
        <v>1</v>
      </c>
      <c r="E334" s="808">
        <f t="shared" ref="E334:E342" si="134">D49</f>
        <v>0.1111111111111111</v>
      </c>
      <c r="F334" s="777" t="str">
        <f>IF(C334=0,NA,'II.Preliminary Feasibility'!AB65)</f>
        <v>Yes</v>
      </c>
      <c r="G334" s="783" t="str">
        <f t="shared" ref="G334:G342" si="135">VLOOKUP(F334,$B$179:$F$184,4,FALSE)</f>
        <v>Yes</v>
      </c>
      <c r="H334" s="783">
        <f t="shared" ref="H334:H342" si="136">VLOOKUP(G334,$B$179:$C$184,2,FALSE)</f>
        <v>1</v>
      </c>
      <c r="I334" s="793">
        <f t="shared" ref="I334:I342" si="137">IF(G334="N/A",1,0)</f>
        <v>0</v>
      </c>
      <c r="J334" s="793">
        <f t="shared" ref="J334:J342" si="138">IF(G334="Skip",1,0)</f>
        <v>0</v>
      </c>
      <c r="K334" s="794">
        <f t="shared" ref="K334:K342" ca="1" si="139">U334</f>
        <v>0.12499999999999999</v>
      </c>
      <c r="L334" s="800">
        <f t="shared" ref="L334:L342" ca="1" si="140">K334*H334</f>
        <v>0.12499999999999999</v>
      </c>
      <c r="M334" s="1773">
        <f ca="1">MIN(Q333,IF(OR(AND(C337=Questions!H42,'Data Analysis'!G337=No,OR(AND(C338=Questions!H65,G338=Uncertain)),AND('Data Analysis'!C339=Questions!H66,G339=Uncertain)),AND(C338=Questions!H65,'Data Analysis'!G338=No),COUNTIF(G334:G342,No)&gt;=2,COUNTIF(G334:G342,Uncertain)&gt;=2),MIN($O$333,SUM(L334:L342)*$S$197),SUM(L334:L342)*$S$197))</f>
        <v>4.9999999999999991</v>
      </c>
      <c r="N334" s="780"/>
      <c r="O334" s="780"/>
      <c r="P334" s="780"/>
      <c r="Q334" s="1767">
        <f>IF(OR(G334="Yes",G334="N/A"),0,1)</f>
        <v>0</v>
      </c>
      <c r="R334" s="819">
        <f t="shared" ref="R334:R342" si="141">IF(I334=1,E334,0)</f>
        <v>0</v>
      </c>
      <c r="S334" s="819">
        <f t="shared" ref="S334:S342" si="142">IF(I334=1,0,E334)</f>
        <v>0.1111111111111111</v>
      </c>
      <c r="T334" s="861">
        <f t="shared" ref="T334:T342" ca="1" si="143">IFERROR(S334/$S$343,0)</f>
        <v>0.12499999999999997</v>
      </c>
      <c r="U334" s="819">
        <f t="shared" ref="U334:U342" ca="1" si="144">S334+(T334*$R$343)</f>
        <v>0.12499999999999999</v>
      </c>
      <c r="AC334" s="515"/>
      <c r="AD334" s="1008"/>
      <c r="AE334" s="757" t="str">
        <f>AD327</f>
        <v>DSCR</v>
      </c>
      <c r="AF334" s="1028">
        <f>'0.Basic Project Data'!H44</f>
        <v>0</v>
      </c>
      <c r="AG334" s="757" t="s">
        <v>29</v>
      </c>
      <c r="AH334" s="743" t="str">
        <f>IF(AF334&gt;=AE327,AG327,IF(AND(AF334&gt;=AE328,AF334&lt;=AF328),AG328,IF(AND(AF334&gt;=AE329,AF334&lt;=AF329),AG329,IF(AND(AF334&gt;=AE330,AF334&lt;=AF330),AG330,IF(AF334&lt;=AF332,AG332,"??")))))</f>
        <v>Moderate</v>
      </c>
      <c r="AI334" s="515" t="str">
        <f>IF(OR(AND('0.Basic Project Data'!H44&lt;=0,'0.Basic Project Data'!H45&lt;=0,'0.Basic Project Data'!H46&lt;=0,ISERROR('0.Basic Project Data'!H44/'0.Basic Project Data'!H46)),'0.Basic Project Data'!H46&lt;=0,),Uncertain)</f>
        <v>Uncertain</v>
      </c>
      <c r="BE334" s="439"/>
    </row>
    <row r="335" spans="2:57" s="440" customFormat="1" ht="15" customHeight="1" x14ac:dyDescent="0.3">
      <c r="B335" s="849" t="str">
        <f>'II.Preliminary Feasibility'!B66</f>
        <v>(ii)</v>
      </c>
      <c r="C335" s="917" t="str">
        <f>'II.Preliminary Feasibility'!D66</f>
        <v>Are the revenue projections realistic? For example, revenues from user charges are based on user surveys or demand models with realistic assumptions and historical data; AND revenues from availability payments are backed by clear understanding from the counterparty agency or availability/capacity utilization factors based on realistic assumptions and historical data.</v>
      </c>
      <c r="D335" s="917">
        <f t="shared" si="133"/>
        <v>1</v>
      </c>
      <c r="E335" s="808">
        <f t="shared" si="134"/>
        <v>0.1111111111111111</v>
      </c>
      <c r="F335" s="777" t="str">
        <f>IF(C335=0,NA,'II.Preliminary Feasibility'!AB66)</f>
        <v>Yes</v>
      </c>
      <c r="G335" s="783" t="str">
        <f t="shared" si="135"/>
        <v>Yes</v>
      </c>
      <c r="H335" s="783">
        <f t="shared" si="136"/>
        <v>1</v>
      </c>
      <c r="I335" s="793">
        <f t="shared" si="137"/>
        <v>0</v>
      </c>
      <c r="J335" s="793">
        <f t="shared" si="138"/>
        <v>0</v>
      </c>
      <c r="K335" s="794">
        <f t="shared" ca="1" si="139"/>
        <v>0.12499999999999999</v>
      </c>
      <c r="L335" s="800">
        <f t="shared" ca="1" si="140"/>
        <v>0.12499999999999999</v>
      </c>
      <c r="M335" s="780"/>
      <c r="N335" s="780"/>
      <c r="O335" s="780"/>
      <c r="P335" s="780"/>
      <c r="Q335" s="1767">
        <f t="shared" ref="Q335:Q342" si="145">IF(OR(G335="Yes",G335="N/A"),0,1)</f>
        <v>0</v>
      </c>
      <c r="R335" s="819">
        <f t="shared" si="141"/>
        <v>0</v>
      </c>
      <c r="S335" s="819">
        <f t="shared" si="142"/>
        <v>0.1111111111111111</v>
      </c>
      <c r="T335" s="861">
        <f t="shared" ca="1" si="143"/>
        <v>0.12499999999999997</v>
      </c>
      <c r="U335" s="819">
        <f t="shared" ca="1" si="144"/>
        <v>0.12499999999999999</v>
      </c>
      <c r="AC335" s="2493" t="str">
        <f>AE334</f>
        <v>DSCR</v>
      </c>
      <c r="AD335" s="2493"/>
      <c r="AE335" s="515"/>
      <c r="AF335" s="515"/>
      <c r="AG335" s="515"/>
      <c r="AH335" s="515"/>
      <c r="AI335" s="515"/>
      <c r="BE335" s="439"/>
    </row>
    <row r="336" spans="2:57" s="440" customFormat="1" ht="15" customHeight="1" x14ac:dyDescent="0.3">
      <c r="B336" s="849" t="str">
        <f>'II.Preliminary Feasibility'!B67</f>
        <v>(iii)</v>
      </c>
      <c r="C336" s="917" t="str">
        <f>'II.Preliminary Feasibility'!D67</f>
        <v>Are the financing assumptions comparable to similar projects? Such as the debt-to-equity ratio, interest rate and tenure of debt, and cost of equity.</v>
      </c>
      <c r="D336" s="917">
        <f t="shared" si="133"/>
        <v>1</v>
      </c>
      <c r="E336" s="808">
        <f t="shared" si="134"/>
        <v>0.1111111111111111</v>
      </c>
      <c r="F336" s="777" t="str">
        <f>IF(C336=0,NA,'II.Preliminary Feasibility'!AB67)</f>
        <v>Yes</v>
      </c>
      <c r="G336" s="783" t="str">
        <f t="shared" si="135"/>
        <v>Yes</v>
      </c>
      <c r="H336" s="783">
        <f t="shared" si="136"/>
        <v>1</v>
      </c>
      <c r="I336" s="793">
        <f t="shared" si="137"/>
        <v>0</v>
      </c>
      <c r="J336" s="793">
        <f t="shared" si="138"/>
        <v>0</v>
      </c>
      <c r="K336" s="794">
        <f t="shared" ca="1" si="139"/>
        <v>0.12499999999999999</v>
      </c>
      <c r="L336" s="800">
        <f t="shared" ca="1" si="140"/>
        <v>0.12499999999999999</v>
      </c>
      <c r="M336" s="780"/>
      <c r="N336" s="780"/>
      <c r="O336" s="831"/>
      <c r="P336" s="831"/>
      <c r="Q336" s="1767">
        <f t="shared" si="145"/>
        <v>0</v>
      </c>
      <c r="R336" s="819">
        <f t="shared" si="141"/>
        <v>0</v>
      </c>
      <c r="S336" s="819">
        <f t="shared" si="142"/>
        <v>0.1111111111111111</v>
      </c>
      <c r="T336" s="861">
        <f t="shared" ca="1" si="143"/>
        <v>0.12499999999999997</v>
      </c>
      <c r="U336" s="819">
        <f t="shared" ca="1" si="144"/>
        <v>0.12499999999999999</v>
      </c>
      <c r="W336" s="454" t="s">
        <v>573</v>
      </c>
      <c r="X336" s="454" t="s">
        <v>50</v>
      </c>
      <c r="Y336" s="454" t="s">
        <v>574</v>
      </c>
      <c r="Z336" s="454" t="s">
        <v>50</v>
      </c>
      <c r="AC336" s="515">
        <f>IF(AD336=$AH$334,1,0)</f>
        <v>0</v>
      </c>
      <c r="AD336" s="1101" t="str">
        <f>AG332</f>
        <v>Low</v>
      </c>
      <c r="AE336" s="955">
        <v>3</v>
      </c>
      <c r="AF336" s="956">
        <v>2.5</v>
      </c>
      <c r="AG336" s="957">
        <v>2</v>
      </c>
      <c r="AH336" s="958">
        <v>1.5</v>
      </c>
      <c r="AI336" s="959">
        <v>1</v>
      </c>
      <c r="BE336" s="439"/>
    </row>
    <row r="337" spans="1:57" s="440" customFormat="1" ht="15" customHeight="1" x14ac:dyDescent="0.3">
      <c r="B337" s="849" t="str">
        <f>'II.Preliminary Feasibility'!B68</f>
        <v>(iv)</v>
      </c>
      <c r="C337" s="917" t="str">
        <f>'II.Preliminary Feasibility'!D68</f>
        <v>Is the project likely to be financially viable?</v>
      </c>
      <c r="D337" s="917">
        <f t="shared" si="133"/>
        <v>1</v>
      </c>
      <c r="E337" s="808">
        <f t="shared" si="134"/>
        <v>0.1111111111111111</v>
      </c>
      <c r="F337" s="777" t="str">
        <f>IF(C337=0,NA,'II.Preliminary Feasibility'!AB68)</f>
        <v>Yes</v>
      </c>
      <c r="G337" s="783" t="str">
        <f t="shared" si="135"/>
        <v>Yes</v>
      </c>
      <c r="H337" s="783">
        <f t="shared" si="136"/>
        <v>1</v>
      </c>
      <c r="I337" s="793">
        <f t="shared" si="137"/>
        <v>0</v>
      </c>
      <c r="J337" s="793">
        <f t="shared" si="138"/>
        <v>0</v>
      </c>
      <c r="K337" s="794">
        <f t="shared" ca="1" si="139"/>
        <v>0.12499999999999999</v>
      </c>
      <c r="L337" s="800">
        <f t="shared" ca="1" si="140"/>
        <v>0.12499999999999999</v>
      </c>
      <c r="M337" s="780"/>
      <c r="N337" s="780"/>
      <c r="O337" s="831"/>
      <c r="P337" s="831"/>
      <c r="Q337" s="1767">
        <f t="shared" si="145"/>
        <v>0</v>
      </c>
      <c r="R337" s="819">
        <f t="shared" si="141"/>
        <v>0</v>
      </c>
      <c r="S337" s="819">
        <f t="shared" si="142"/>
        <v>0.1111111111111111</v>
      </c>
      <c r="T337" s="861">
        <f t="shared" ca="1" si="143"/>
        <v>0.12499999999999997</v>
      </c>
      <c r="U337" s="819">
        <f t="shared" ca="1" si="144"/>
        <v>0.12499999999999999</v>
      </c>
      <c r="V337" s="1397" t="s">
        <v>389</v>
      </c>
      <c r="W337" s="832" t="s">
        <v>576</v>
      </c>
      <c r="X337" s="832">
        <v>5</v>
      </c>
      <c r="Y337" s="832" t="s">
        <v>578</v>
      </c>
      <c r="Z337" s="832">
        <v>5</v>
      </c>
      <c r="AC337" s="515">
        <f>IF(AD337=$AH$334,1,0)</f>
        <v>0</v>
      </c>
      <c r="AD337" s="515" t="str">
        <f>AG330</f>
        <v>Medium-Low</v>
      </c>
      <c r="AE337" s="960">
        <v>3.5</v>
      </c>
      <c r="AF337" s="955">
        <v>3</v>
      </c>
      <c r="AG337" s="956">
        <v>2.5</v>
      </c>
      <c r="AH337" s="957">
        <v>2</v>
      </c>
      <c r="AI337" s="958">
        <v>1.5</v>
      </c>
      <c r="BE337" s="439"/>
    </row>
    <row r="338" spans="1:57" s="440" customFormat="1" ht="15" customHeight="1" x14ac:dyDescent="0.3">
      <c r="B338" s="849" t="str">
        <f>'II.Preliminary Feasibility'!B69</f>
        <v>(v)</v>
      </c>
      <c r="C338" s="917" t="str">
        <f ca="1">IF('II.Preliminary Feasibility'!D69=0,Questions!H172,'II.Preliminary Feasibility'!D69)</f>
        <v>Is the project IRR (post-tax) greater than the threshold rate?</v>
      </c>
      <c r="D338" s="917">
        <f t="shared" ca="1" si="133"/>
        <v>1</v>
      </c>
      <c r="E338" s="808">
        <f t="shared" si="134"/>
        <v>0.1111111111111111</v>
      </c>
      <c r="F338" s="777" t="str">
        <f ca="1">IF(C338=0,"N/A",IF('0.Basic Project Data'!$H$41&gt;='0.Basic Project Data'!$H$43,"Yes",IF('0.Basic Project Data'!$H$41&lt;'0.Basic Project Data'!$H$43,No,'II.Preliminary Feasibility'!AB69)))</f>
        <v>Yes</v>
      </c>
      <c r="G338" s="783" t="str">
        <f t="shared" ca="1" si="135"/>
        <v>Yes</v>
      </c>
      <c r="H338" s="783">
        <f t="shared" ca="1" si="136"/>
        <v>1</v>
      </c>
      <c r="I338" s="793">
        <f t="shared" ca="1" si="137"/>
        <v>0</v>
      </c>
      <c r="J338" s="793">
        <f t="shared" ca="1" si="138"/>
        <v>0</v>
      </c>
      <c r="K338" s="794">
        <f t="shared" ca="1" si="139"/>
        <v>0.12499999999999999</v>
      </c>
      <c r="L338" s="800">
        <f t="shared" ca="1" si="140"/>
        <v>0.12499999999999999</v>
      </c>
      <c r="M338" s="780"/>
      <c r="N338" s="780"/>
      <c r="O338" s="780"/>
      <c r="P338" s="780"/>
      <c r="Q338" s="1767">
        <f t="shared" ca="1" si="145"/>
        <v>0</v>
      </c>
      <c r="R338" s="819">
        <f t="shared" ca="1" si="141"/>
        <v>0</v>
      </c>
      <c r="S338" s="819">
        <f t="shared" ca="1" si="142"/>
        <v>0.1111111111111111</v>
      </c>
      <c r="T338" s="861">
        <f t="shared" ca="1" si="143"/>
        <v>0.12499999999999997</v>
      </c>
      <c r="U338" s="819">
        <f t="shared" ca="1" si="144"/>
        <v>0.12499999999999999</v>
      </c>
      <c r="V338" s="1397" t="s">
        <v>584</v>
      </c>
      <c r="W338" s="832" t="s">
        <v>579</v>
      </c>
      <c r="X338" s="832">
        <v>4</v>
      </c>
      <c r="Y338" s="832" t="s">
        <v>577</v>
      </c>
      <c r="Z338" s="832">
        <v>4</v>
      </c>
      <c r="AC338" s="515">
        <f>IF(AD338=$AH$334,1,0)</f>
        <v>1</v>
      </c>
      <c r="AD338" s="515" t="str">
        <f>AG329</f>
        <v>Moderate</v>
      </c>
      <c r="AE338" s="961">
        <v>4</v>
      </c>
      <c r="AF338" s="960">
        <v>3.5</v>
      </c>
      <c r="AG338" s="955">
        <v>3</v>
      </c>
      <c r="AH338" s="956">
        <v>2.5</v>
      </c>
      <c r="AI338" s="957">
        <v>2</v>
      </c>
      <c r="BE338" s="439"/>
    </row>
    <row r="339" spans="1:57" s="440" customFormat="1" ht="15" customHeight="1" x14ac:dyDescent="0.3">
      <c r="B339" s="849" t="str">
        <f>'II.Preliminary Feasibility'!B70</f>
        <v>(vi)</v>
      </c>
      <c r="C339" s="917" t="str">
        <f ca="1">IF('II.Preliminary Feasibility'!D70=0,Questions!H173,'II.Preliminary Feasibility'!D70)</f>
        <v>Will the project IRR (post-tax) remain greater than the threshold rate the stress (or low) case scenario?</v>
      </c>
      <c r="D339" s="917">
        <f t="shared" ca="1" si="133"/>
        <v>1</v>
      </c>
      <c r="E339" s="808">
        <f t="shared" si="134"/>
        <v>0.1111111111111111</v>
      </c>
      <c r="F339" s="777" t="str">
        <f ca="1">IF(C339=0,NA,IF('0.Basic Project Data'!$H$42&gt;='0.Basic Project Data'!$H$43,Yes,IF('0.Basic Project Data'!$H$42&lt;'0.Basic Project Data'!$H$43,No,'II.Preliminary Feasibility'!AB70)))</f>
        <v>Yes</v>
      </c>
      <c r="G339" s="783" t="str">
        <f t="shared" ca="1" si="135"/>
        <v>Yes</v>
      </c>
      <c r="H339" s="783">
        <f t="shared" ca="1" si="136"/>
        <v>1</v>
      </c>
      <c r="I339" s="793">
        <f t="shared" ca="1" si="137"/>
        <v>0</v>
      </c>
      <c r="J339" s="793">
        <f t="shared" ca="1" si="138"/>
        <v>0</v>
      </c>
      <c r="K339" s="794">
        <f t="shared" ca="1" si="139"/>
        <v>0.12499999999999999</v>
      </c>
      <c r="L339" s="800">
        <f t="shared" ca="1" si="140"/>
        <v>0.12499999999999999</v>
      </c>
      <c r="M339" s="780"/>
      <c r="N339" s="780"/>
      <c r="O339" s="780"/>
      <c r="P339" s="780"/>
      <c r="Q339" s="1767">
        <f t="shared" ca="1" si="145"/>
        <v>0</v>
      </c>
      <c r="R339" s="819">
        <f t="shared" ca="1" si="141"/>
        <v>0</v>
      </c>
      <c r="S339" s="819">
        <f t="shared" ca="1" si="142"/>
        <v>0.1111111111111111</v>
      </c>
      <c r="T339" s="861">
        <f t="shared" ca="1" si="143"/>
        <v>0.12499999999999997</v>
      </c>
      <c r="U339" s="819">
        <f t="shared" ca="1" si="144"/>
        <v>0.12499999999999999</v>
      </c>
      <c r="V339" s="1397" t="s">
        <v>390</v>
      </c>
      <c r="W339" s="832" t="s">
        <v>586</v>
      </c>
      <c r="X339" s="832">
        <v>3</v>
      </c>
      <c r="Y339" s="832" t="s">
        <v>575</v>
      </c>
      <c r="Z339" s="832">
        <v>3</v>
      </c>
      <c r="AC339" s="515">
        <f>IF(AD339=$AH$334,1,0)</f>
        <v>0</v>
      </c>
      <c r="AD339" s="515" t="str">
        <f>AG328</f>
        <v>Moderate- High</v>
      </c>
      <c r="AE339" s="962">
        <v>4.5</v>
      </c>
      <c r="AF339" s="961">
        <v>4</v>
      </c>
      <c r="AG339" s="960">
        <v>3.5</v>
      </c>
      <c r="AH339" s="955">
        <v>3</v>
      </c>
      <c r="AI339" s="956">
        <v>2.5</v>
      </c>
      <c r="BE339" s="439"/>
    </row>
    <row r="340" spans="1:57" s="440" customFormat="1" ht="15" customHeight="1" x14ac:dyDescent="0.3">
      <c r="B340" s="849" t="str">
        <f>'II.Preliminary Feasibility'!B71</f>
        <v>(vii)</v>
      </c>
      <c r="C340" s="917" t="str">
        <f ca="1">IF('II.Preliminary Feasibility'!D71=0,Questions!H174,'II.Preliminary Feasibility'!D71)</f>
        <v>Is the project's minimum DSCR greater than the threshold ratio for the duration of the loan?</v>
      </c>
      <c r="D340" s="917">
        <f t="shared" ca="1" si="133"/>
        <v>1</v>
      </c>
      <c r="E340" s="808">
        <f t="shared" si="134"/>
        <v>0.1111111111111111</v>
      </c>
      <c r="F340" s="777" t="str">
        <f ca="1">IF(C340=0,NA,IF('0.Basic Project Data'!$H$44&gt;='0.Basic Project Data'!$H$46,Yes,IF('0.Basic Project Data'!$H$45&gt;'0.Basic Project Data'!$H$46,No,'II.Preliminary Feasibility'!AB71)))</f>
        <v>Yes</v>
      </c>
      <c r="G340" s="783" t="str">
        <f t="shared" ca="1" si="135"/>
        <v>Yes</v>
      </c>
      <c r="H340" s="783">
        <f t="shared" ca="1" si="136"/>
        <v>1</v>
      </c>
      <c r="I340" s="793">
        <f t="shared" ca="1" si="137"/>
        <v>0</v>
      </c>
      <c r="J340" s="793">
        <f t="shared" ca="1" si="138"/>
        <v>0</v>
      </c>
      <c r="K340" s="794">
        <f t="shared" ca="1" si="139"/>
        <v>0.12499999999999999</v>
      </c>
      <c r="L340" s="800">
        <f t="shared" ca="1" si="140"/>
        <v>0.12499999999999999</v>
      </c>
      <c r="M340" s="780"/>
      <c r="N340" s="780"/>
      <c r="O340" s="780"/>
      <c r="P340" s="780"/>
      <c r="Q340" s="1767">
        <f t="shared" ca="1" si="145"/>
        <v>0</v>
      </c>
      <c r="R340" s="819">
        <f t="shared" ca="1" si="141"/>
        <v>0</v>
      </c>
      <c r="S340" s="819">
        <f t="shared" ca="1" si="142"/>
        <v>0.1111111111111111</v>
      </c>
      <c r="T340" s="861">
        <f t="shared" ca="1" si="143"/>
        <v>0.12499999999999997</v>
      </c>
      <c r="U340" s="819">
        <f t="shared" ca="1" si="144"/>
        <v>0.12499999999999999</v>
      </c>
      <c r="V340" s="1397" t="s">
        <v>585</v>
      </c>
      <c r="W340" s="832" t="s">
        <v>580</v>
      </c>
      <c r="X340" s="832">
        <v>2</v>
      </c>
      <c r="Y340" s="832" t="s">
        <v>580</v>
      </c>
      <c r="Z340" s="832">
        <v>2</v>
      </c>
      <c r="AC340" s="515">
        <f>IF(AD340=$AH$334,1,0)</f>
        <v>0</v>
      </c>
      <c r="AD340" s="515" t="str">
        <f>AG327</f>
        <v>High</v>
      </c>
      <c r="AE340" s="963">
        <v>5</v>
      </c>
      <c r="AF340" s="962">
        <v>4.5</v>
      </c>
      <c r="AG340" s="961">
        <v>4</v>
      </c>
      <c r="AH340" s="960">
        <v>3.5</v>
      </c>
      <c r="AI340" s="955">
        <v>3</v>
      </c>
      <c r="BE340" s="439"/>
    </row>
    <row r="341" spans="1:57" s="440" customFormat="1" ht="15" customHeight="1" x14ac:dyDescent="0.3">
      <c r="B341" s="849" t="str">
        <f>'II.Preliminary Feasibility'!B72</f>
        <v>(viii)</v>
      </c>
      <c r="C341" s="917" t="str">
        <f ca="1">IF('II.Preliminary Feasibility'!D72=0,Questions!H175,'II.Preliminary Feasibility'!D72)</f>
        <v>Will the project's minimum DSCR remain greater than the threshold ratio for the duration of the loan, in the stress (or low) case scenario?</v>
      </c>
      <c r="D341" s="917">
        <f t="shared" ca="1" si="133"/>
        <v>1</v>
      </c>
      <c r="E341" s="808">
        <f t="shared" si="134"/>
        <v>0.1111111111111111</v>
      </c>
      <c r="F341" s="777" t="str">
        <f ca="1">IF(C341=0,NA,IF('0.Basic Project Data'!$H$45&gt;='0.Basic Project Data'!$H$46,Yes,IF('0.Basic Project Data'!$H$45&lt;'0.Basic Project Data'!$H$46,No,'II.Preliminary Feasibility'!AB72)))</f>
        <v>Yes</v>
      </c>
      <c r="G341" s="783" t="str">
        <f t="shared" ca="1" si="135"/>
        <v>Yes</v>
      </c>
      <c r="H341" s="783">
        <f t="shared" ca="1" si="136"/>
        <v>1</v>
      </c>
      <c r="I341" s="793">
        <f t="shared" ca="1" si="137"/>
        <v>0</v>
      </c>
      <c r="J341" s="793">
        <f t="shared" ca="1" si="138"/>
        <v>0</v>
      </c>
      <c r="K341" s="794">
        <f t="shared" ca="1" si="139"/>
        <v>0.12499999999999999</v>
      </c>
      <c r="L341" s="800">
        <f t="shared" ca="1" si="140"/>
        <v>0.12499999999999999</v>
      </c>
      <c r="M341" s="780"/>
      <c r="N341" s="780"/>
      <c r="O341" s="780"/>
      <c r="P341" s="780"/>
      <c r="Q341" s="1767">
        <f t="shared" ca="1" si="145"/>
        <v>0</v>
      </c>
      <c r="R341" s="819">
        <f t="shared" ca="1" si="141"/>
        <v>0</v>
      </c>
      <c r="S341" s="819">
        <f t="shared" ca="1" si="142"/>
        <v>0.1111111111111111</v>
      </c>
      <c r="T341" s="861">
        <f t="shared" ca="1" si="143"/>
        <v>0.12499999999999997</v>
      </c>
      <c r="U341" s="819">
        <f t="shared" ca="1" si="144"/>
        <v>0.12499999999999999</v>
      </c>
      <c r="V341" s="1397" t="s">
        <v>391</v>
      </c>
      <c r="W341" s="832" t="s">
        <v>581</v>
      </c>
      <c r="X341" s="832">
        <v>1</v>
      </c>
      <c r="Y341" s="832" t="s">
        <v>581</v>
      </c>
      <c r="Z341" s="832">
        <v>1</v>
      </c>
      <c r="AC341" s="515"/>
      <c r="AD341" s="515"/>
      <c r="AE341" s="515" t="str">
        <f>AG325</f>
        <v>High</v>
      </c>
      <c r="AF341" s="515" t="str">
        <f>AG324</f>
        <v>Moderate- High</v>
      </c>
      <c r="AG341" s="515" t="str">
        <f>AG323</f>
        <v>Moderate</v>
      </c>
      <c r="AH341" s="515" t="str">
        <f>AG322</f>
        <v>Medium-Low</v>
      </c>
      <c r="AI341" s="515" t="str">
        <f>AG321</f>
        <v>Low</v>
      </c>
      <c r="BE341" s="439"/>
    </row>
    <row r="342" spans="1:57" s="440" customFormat="1" ht="15" customHeight="1" x14ac:dyDescent="0.3">
      <c r="B342" s="849" t="str">
        <f>'II.Preliminary Feasibility'!B73</f>
        <v>(ix)</v>
      </c>
      <c r="C342" s="917">
        <f ca="1">'II.Preliminary Feasibility'!D73</f>
        <v>0</v>
      </c>
      <c r="D342" s="917">
        <f t="shared" ca="1" si="133"/>
        <v>0</v>
      </c>
      <c r="E342" s="808">
        <f t="shared" si="134"/>
        <v>0.1111111111111111</v>
      </c>
      <c r="F342" s="777" t="str">
        <f ca="1">IF(C342=0,NA,'II.Preliminary Feasibility'!AB73)</f>
        <v>N/A</v>
      </c>
      <c r="G342" s="783" t="str">
        <f t="shared" ca="1" si="135"/>
        <v>N/A</v>
      </c>
      <c r="H342" s="783">
        <f t="shared" ca="1" si="136"/>
        <v>0</v>
      </c>
      <c r="I342" s="793">
        <f t="shared" ca="1" si="137"/>
        <v>1</v>
      </c>
      <c r="J342" s="793">
        <f t="shared" ca="1" si="138"/>
        <v>0</v>
      </c>
      <c r="K342" s="794">
        <f t="shared" ca="1" si="139"/>
        <v>0</v>
      </c>
      <c r="L342" s="800">
        <f t="shared" ca="1" si="140"/>
        <v>0</v>
      </c>
      <c r="M342" s="780"/>
      <c r="N342" s="780"/>
      <c r="O342" s="780"/>
      <c r="P342" s="780"/>
      <c r="Q342" s="1767">
        <f t="shared" ca="1" si="145"/>
        <v>0</v>
      </c>
      <c r="R342" s="819">
        <f t="shared" ca="1" si="141"/>
        <v>0.1111111111111111</v>
      </c>
      <c r="S342" s="819">
        <f t="shared" ca="1" si="142"/>
        <v>0</v>
      </c>
      <c r="T342" s="861">
        <f t="shared" ca="1" si="143"/>
        <v>0</v>
      </c>
      <c r="U342" s="819">
        <f t="shared" ca="1" si="144"/>
        <v>0</v>
      </c>
      <c r="V342" s="1399" t="s">
        <v>582</v>
      </c>
      <c r="W342" s="1398" t="str">
        <f>'0.Basic Project Data'!H54</f>
        <v>Not Used</v>
      </c>
      <c r="X342" s="440">
        <f>VLOOKUP(W342,W337:X341,2,FALSE)</f>
        <v>1</v>
      </c>
      <c r="AC342" s="515"/>
      <c r="AD342" s="515"/>
      <c r="AE342" s="515">
        <f>IF($AH$333=AE341,1,0)</f>
        <v>1</v>
      </c>
      <c r="AF342" s="515">
        <f>IF($AH$333=AF341,1,0)</f>
        <v>0</v>
      </c>
      <c r="AG342" s="515">
        <f>IF($AH$333=AG341,1,0)</f>
        <v>0</v>
      </c>
      <c r="AH342" s="515">
        <f>IF($AH$333=AH341,1,0)</f>
        <v>0</v>
      </c>
      <c r="AI342" s="515">
        <f>IF($AH$333=AI341,1,0)</f>
        <v>0</v>
      </c>
      <c r="BE342" s="439"/>
    </row>
    <row r="343" spans="1:57" s="440" customFormat="1" ht="15" customHeight="1" x14ac:dyDescent="0.3">
      <c r="B343" s="849"/>
      <c r="C343" s="842"/>
      <c r="D343" s="842"/>
      <c r="E343" s="855"/>
      <c r="F343" s="777"/>
      <c r="G343" s="777"/>
      <c r="H343" s="783"/>
      <c r="I343" s="793"/>
      <c r="J343" s="793"/>
      <c r="K343" s="794"/>
      <c r="L343" s="800"/>
      <c r="M343" s="780"/>
      <c r="N343" s="780"/>
      <c r="O343" s="780"/>
      <c r="P343" s="780"/>
      <c r="Q343" s="1766">
        <f ca="1">SUM(Q334:Q342)/(H333-I333)</f>
        <v>0</v>
      </c>
      <c r="R343" s="818">
        <f ca="1">SUM(R337:R342)</f>
        <v>0.1111111111111111</v>
      </c>
      <c r="S343" s="818">
        <f ca="1">SUM(S334:S342)</f>
        <v>0.88888888888888906</v>
      </c>
      <c r="T343" s="818">
        <f ca="1">SUM(T334:T342)</f>
        <v>0.99999999999999989</v>
      </c>
      <c r="U343" s="818">
        <f ca="1">SUM(U334:U342)</f>
        <v>0.99999999999999989</v>
      </c>
      <c r="V343" s="1399" t="s">
        <v>583</v>
      </c>
      <c r="W343" s="1398" t="str">
        <f>'0.Basic Project Data'!H55</f>
        <v>Not used</v>
      </c>
      <c r="X343" s="440">
        <f>VLOOKUP(W343,Y337:Z341,2,FALSE)</f>
        <v>1</v>
      </c>
      <c r="AC343" s="515"/>
      <c r="AD343" s="515"/>
      <c r="AE343" s="2493" t="str">
        <f>AE333</f>
        <v>IRR</v>
      </c>
      <c r="AF343" s="2493"/>
      <c r="AG343" s="2493"/>
      <c r="AH343" s="2493"/>
      <c r="AI343" s="2493"/>
      <c r="BE343" s="439"/>
    </row>
    <row r="344" spans="1:57" s="440" customFormat="1" ht="15" customHeight="1" thickBot="1" x14ac:dyDescent="0.35">
      <c r="B344" s="850">
        <f>'II.Preliminary Feasibility'!B75</f>
        <v>6</v>
      </c>
      <c r="C344" s="838" t="str">
        <f>'II.Preliminary Feasibility'!D75</f>
        <v>Legal Prefeasibility</v>
      </c>
      <c r="D344" s="838">
        <f>SUM(D345:D349)</f>
        <v>5</v>
      </c>
      <c r="E344" s="866">
        <f>Admin!I15</f>
        <v>0.2</v>
      </c>
      <c r="F344" s="841"/>
      <c r="G344" s="841"/>
      <c r="H344" s="1770">
        <f>COUNTA(H345:H349)</f>
        <v>5</v>
      </c>
      <c r="I344" s="1770">
        <f>SUM(I345:I349)</f>
        <v>0</v>
      </c>
      <c r="J344" s="1055">
        <f>COUNTIF(J345:J349,1)/COUNT(J345:J349)</f>
        <v>0</v>
      </c>
      <c r="K344" s="851"/>
      <c r="L344" s="852"/>
      <c r="M344" s="1360">
        <f>MIN(Q344,IF(Z254&gt;0,MIN($AA$254,IF(J344&gt;$O$303,MIN($O$344,IF((OR(OR($F$345="No",$F$345="Uncertain",$F$345="Skip"),AND(OR($F$346="No",$F$346="Uncertain",$F$346="Skip"),OR($F$349="No",$F$349="Uncertain",$F$349="Skip")),AND(OR(F347="No",F347="Uncertain",E233="Skip"),OR(F348="Yes",F348="Uncertain",F348="Skip"),OR($F$349="No",$F$349="Uncertain",$F$349="Skip")))), MIN(O344,SUM(L345:L349)*$S$197)),SUM(L345:L349)*$S$197),SUM(L345:L349)*$S$197)),IF(J344&gt;$O$303,MIN($O$344,IF((OR(OR($F$345="No",$F$345="Uncertain",$F$345="Skip"),AND(OR($F$346="No",$F$346="Uncertain",$F$346="Skip"),OR($F$349="No",$F$349="Uncertain",$F$349="Skip")),AND(OR(F347="No",F347="Uncertain",E233="Skip"),OR(F348="Yes",F348="Uncertain",F348="Skip"),OR($F$349="No",$F$349="Uncertain",$F$349="Skip")))), MIN(O344,SUM(L345:L349)*$S$197)),SUM(L345:L349)*$S$197),SUM(L345:L349)*$S$197)))</f>
        <v>5</v>
      </c>
      <c r="N344" s="868">
        <f>M344*E344</f>
        <v>1</v>
      </c>
      <c r="O344" s="1022">
        <v>2</v>
      </c>
      <c r="P344" s="839"/>
      <c r="Q344" s="1769">
        <f>VLOOKUP(Q350,$D$147:$F$150,3)</f>
        <v>5</v>
      </c>
      <c r="R344" s="839"/>
      <c r="S344" s="839"/>
      <c r="T344" s="839"/>
      <c r="U344" s="839"/>
      <c r="V344" s="1399" t="s">
        <v>587</v>
      </c>
      <c r="W344" s="440">
        <f>IF(AND(X342=1,X343=1),M311,IF(AND(X342&gt;1,X343&gt;1),SQRT(X342*X343),IF(AND(X342=1,X343&gt;1),X343,IF(AND(X342&gt;1,X343=1),X342,M311))))</f>
        <v>5</v>
      </c>
      <c r="AE344" s="1029" t="s">
        <v>418</v>
      </c>
      <c r="AF344" s="1107">
        <f>SQRT(AG345*AH471)</f>
        <v>3.4641016151377544</v>
      </c>
      <c r="BE344" s="439"/>
    </row>
    <row r="345" spans="1:57" s="440" customFormat="1" ht="15" customHeight="1" x14ac:dyDescent="0.3">
      <c r="B345" s="849" t="s">
        <v>63</v>
      </c>
      <c r="C345" s="1373" t="str">
        <f>IF(E251=1,'0.Basic Project Data'!D20,'II.Preliminary Feasibility'!D76)</f>
        <v>Do sector laws, regulations or policies allow private sector participation in the project?</v>
      </c>
      <c r="D345" s="917">
        <f t="shared" ref="D345:D349" si="146">IF(C345=0,0,1)</f>
        <v>1</v>
      </c>
      <c r="E345" s="808">
        <f>D58</f>
        <v>0.17499999999999999</v>
      </c>
      <c r="F345" s="949" t="str">
        <f>IF(E251=1,'0.Basic Project Data'!H20,'II.Preliminary Feasibility'!AB76)</f>
        <v>Yes</v>
      </c>
      <c r="G345" s="783" t="str">
        <f>VLOOKUP(F345,$B$179:$F$184,4,FALSE)</f>
        <v>Yes</v>
      </c>
      <c r="H345" s="783">
        <f>VLOOKUP(G345,$B$179:$C$184,2,FALSE)</f>
        <v>1</v>
      </c>
      <c r="I345" s="793">
        <f t="shared" ref="I345:I349" si="147">IF(G345="N/A",1,0)</f>
        <v>0</v>
      </c>
      <c r="J345" s="793">
        <f t="shared" ref="J345:J349" si="148">IF(G345="Skip",1,0)</f>
        <v>0</v>
      </c>
      <c r="K345" s="794">
        <f>U345</f>
        <v>0.17499999999999999</v>
      </c>
      <c r="L345" s="800">
        <f t="shared" ref="L345:L349" si="149">K345*H345</f>
        <v>0.17499999999999999</v>
      </c>
      <c r="M345" s="780"/>
      <c r="N345" s="780"/>
      <c r="O345" s="780"/>
      <c r="P345" s="780"/>
      <c r="Q345" s="1767">
        <f>IF(OR(G345="Yes",G345="N/A"),0,1)</f>
        <v>0</v>
      </c>
      <c r="R345" s="819">
        <f>IF(I345=1,E345,0)</f>
        <v>0</v>
      </c>
      <c r="S345" s="819">
        <f>IF(I345=1,0,E345)</f>
        <v>0.17499999999999999</v>
      </c>
      <c r="T345" s="860">
        <f>IFERROR(S345/$S$350,0)</f>
        <v>0.17499999999999999</v>
      </c>
      <c r="U345" s="819">
        <f>S345+(T345*$R$350)</f>
        <v>0.17499999999999999</v>
      </c>
      <c r="V345" s="1400" t="s">
        <v>588</v>
      </c>
      <c r="W345" s="1401">
        <f>J16</f>
        <v>0.5</v>
      </c>
      <c r="AE345" s="1029" t="s">
        <v>421</v>
      </c>
      <c r="AF345" s="968">
        <f>IF(AND(AI333=Uncertain,AI334=Uncertain),0%,J11)</f>
        <v>0</v>
      </c>
      <c r="AG345" s="440">
        <f>IF(AND(AC336=1,AE342=1),AE336,IF(AND(AC337=1,AE342=1),AE337,IF(AND(AC338=1,AE342=1),AE338,IF(AND(AC339=1,AE342=1),AE339,IF(AND(AC340=1,AE342=1),AE340,IF(AND(AC336=1,AF342=1),AF336,IF(AND(AC337=1,AF342=1),AF337,IF(AND(AC338=1,AF342=1),AF338,IF(AND(AC339=1,AF342=1),AF339,IF(AND(AC340=1,AF342=1),AF340,IF(AND(AC336=1,AG342=1),AG336,IF(AND(AC337=1,AG342=1),AG337,IF(AND(AC338=1,AG342=1),AG338,IF(AND(AC339=1,AG342=1),AG339,IF(AND(AC340=1,AG342=1),AG340,IF(AND(AC336=1,AH342=1),AH336,IF(AND(AC337=1,AH342=1),AH337,IF(AND(AC338=1,AH342=1),AH338,IF(AND(AC339=1,AH342=1),AH339,IF(AND(AC340=1,AH342=1),AH340,IF(AND(AC336=1,AI342=1),AI336,IF(AND(AC337=1,AI342=1),AI337,IF(AND(AC338=1,AI342=1),AI338,IF(AND(AC339=1,AI342=1),AI339,IF(AND(AC340=1,AI342=1),AI340)))))))))))))))))))))))))</f>
        <v>4</v>
      </c>
      <c r="BE345" s="439"/>
    </row>
    <row r="346" spans="1:57" s="440" customFormat="1" ht="15" customHeight="1" thickBot="1" x14ac:dyDescent="0.35">
      <c r="B346" s="849" t="s">
        <v>64</v>
      </c>
      <c r="C346" s="917" t="str">
        <f>'II.Preliminary Feasibility'!D77</f>
        <v>Is there a framework that provides adequate basis for establishing the hybrid revenue mechanism for the PPP project? This could include, a tariff-setting methodology and periodic review mechanism.</v>
      </c>
      <c r="D346" s="917">
        <f t="shared" si="146"/>
        <v>1</v>
      </c>
      <c r="E346" s="808">
        <f>D59</f>
        <v>0.17499999999999999</v>
      </c>
      <c r="F346" s="777" t="str">
        <f>IF(C346=0,"N/A",'II.Preliminary Feasibility'!AB77)</f>
        <v>Yes</v>
      </c>
      <c r="G346" s="783" t="str">
        <f>VLOOKUP(F346,$B$179:$F$184,4,FALSE)</f>
        <v>Yes</v>
      </c>
      <c r="H346" s="783">
        <f>VLOOKUP(G346,$B$179:$C$184,2,FALSE)</f>
        <v>1</v>
      </c>
      <c r="I346" s="793">
        <f t="shared" si="147"/>
        <v>0</v>
      </c>
      <c r="J346" s="793">
        <f t="shared" si="148"/>
        <v>0</v>
      </c>
      <c r="K346" s="794">
        <f>U346</f>
        <v>0.17499999999999999</v>
      </c>
      <c r="L346" s="800">
        <f t="shared" si="149"/>
        <v>0.17499999999999999</v>
      </c>
      <c r="M346" s="780"/>
      <c r="N346" s="780"/>
      <c r="O346" s="780"/>
      <c r="P346" s="780"/>
      <c r="Q346" s="1767">
        <f t="shared" ref="Q346:Q349" si="150">IF(OR(G346="Yes",G346="N/A"),0,1)</f>
        <v>0</v>
      </c>
      <c r="R346" s="819">
        <f>IF(I346=1,E346,0)</f>
        <v>0</v>
      </c>
      <c r="S346" s="819">
        <f>IF(I346=1,0,E346)</f>
        <v>0.17499999999999999</v>
      </c>
      <c r="T346" s="860">
        <f>IFERROR(S346/$S$350,0)</f>
        <v>0.17499999999999999</v>
      </c>
      <c r="U346" s="819">
        <f>S346+(T346*$R$350)</f>
        <v>0.17499999999999999</v>
      </c>
      <c r="V346" s="1400" t="s">
        <v>589</v>
      </c>
      <c r="W346" s="1402">
        <f>1-W345</f>
        <v>0.5</v>
      </c>
      <c r="AE346" s="1029" t="s">
        <v>422</v>
      </c>
      <c r="AF346" s="967">
        <f>AF345*AF344</f>
        <v>0</v>
      </c>
      <c r="BE346" s="439"/>
    </row>
    <row r="347" spans="1:57" s="440" customFormat="1" ht="15" customHeight="1" x14ac:dyDescent="0.3">
      <c r="B347" s="849" t="s">
        <v>65</v>
      </c>
      <c r="C347" s="917" t="str">
        <f>'II.Preliminary Feasibility'!D78</f>
        <v>Does the law confer enforceable rights such as, rights of substitution, step-in rights or other applicable remedies that enable the lenders to recover their outstanding loan amounts?</v>
      </c>
      <c r="D347" s="917">
        <f t="shared" si="146"/>
        <v>1</v>
      </c>
      <c r="E347" s="808">
        <f>D60</f>
        <v>0.17499999999999999</v>
      </c>
      <c r="F347" s="777" t="str">
        <f>IF(C347=0,"N/A",'II.Preliminary Feasibility'!AB78)</f>
        <v>Yes</v>
      </c>
      <c r="G347" s="783" t="str">
        <f>VLOOKUP(F347,$B$179:$F$184,4,FALSE)</f>
        <v>Yes</v>
      </c>
      <c r="H347" s="783">
        <f>VLOOKUP(G347,$B$179:$C$184,2,FALSE)</f>
        <v>1</v>
      </c>
      <c r="I347" s="793">
        <f t="shared" si="147"/>
        <v>0</v>
      </c>
      <c r="J347" s="793">
        <f t="shared" si="148"/>
        <v>0</v>
      </c>
      <c r="K347" s="794">
        <f>U347</f>
        <v>0.17499999999999999</v>
      </c>
      <c r="L347" s="800">
        <f t="shared" si="149"/>
        <v>0.17499999999999999</v>
      </c>
      <c r="M347" s="780"/>
      <c r="N347" s="780"/>
      <c r="O347" s="780"/>
      <c r="P347" s="780"/>
      <c r="Q347" s="1767">
        <f t="shared" si="150"/>
        <v>0</v>
      </c>
      <c r="R347" s="819">
        <f>IF(I347=1,E347,0)</f>
        <v>0</v>
      </c>
      <c r="S347" s="819">
        <f>IF(I347=1,0,E347)</f>
        <v>0.17499999999999999</v>
      </c>
      <c r="T347" s="860">
        <f>IFERROR(S347/$S$350,0)</f>
        <v>0.17499999999999999</v>
      </c>
      <c r="U347" s="819">
        <f>S347+(T347*$R$350)</f>
        <v>0.17499999999999999</v>
      </c>
      <c r="AE347" s="1029" t="s">
        <v>438</v>
      </c>
      <c r="AF347" s="967">
        <f ca="1">M334</f>
        <v>4.9999999999999991</v>
      </c>
      <c r="BE347" s="439"/>
    </row>
    <row r="348" spans="1:57" s="440" customFormat="1" ht="15" customHeight="1" x14ac:dyDescent="0.3">
      <c r="B348" s="849" t="s">
        <v>66</v>
      </c>
      <c r="C348" s="917" t="str">
        <f>'II.Preliminary Feasibility'!D79</f>
        <v>Are there any restrictions on foreign exchange or capital movements that may limit the project’s access to finance?</v>
      </c>
      <c r="D348" s="917">
        <f t="shared" si="146"/>
        <v>1</v>
      </c>
      <c r="E348" s="808">
        <f>D61</f>
        <v>0.17499999999999999</v>
      </c>
      <c r="F348" s="777" t="str">
        <f>IF(C348=0,"N/A",'II.Preliminary Feasibility'!AB79)</f>
        <v>No</v>
      </c>
      <c r="G348" s="783" t="str">
        <f>VLOOKUP(F348,$B$179:$F$184,5,FALSE)</f>
        <v>Yes</v>
      </c>
      <c r="H348" s="783">
        <f>VLOOKUP(G348,$B$179:$C$184,2,FALSE)</f>
        <v>1</v>
      </c>
      <c r="I348" s="793">
        <f t="shared" si="147"/>
        <v>0</v>
      </c>
      <c r="J348" s="793">
        <f t="shared" si="148"/>
        <v>0</v>
      </c>
      <c r="K348" s="794">
        <f>U348</f>
        <v>0.17499999999999999</v>
      </c>
      <c r="L348" s="800">
        <f t="shared" si="149"/>
        <v>0.17499999999999999</v>
      </c>
      <c r="M348" s="780"/>
      <c r="N348" s="780"/>
      <c r="O348" s="831"/>
      <c r="P348" s="831"/>
      <c r="Q348" s="1767">
        <f t="shared" si="150"/>
        <v>0</v>
      </c>
      <c r="R348" s="819">
        <f>IF(I348=1,E348,0)</f>
        <v>0</v>
      </c>
      <c r="S348" s="819">
        <f>IF(I348=1,0,E348)</f>
        <v>0.17499999999999999</v>
      </c>
      <c r="T348" s="860">
        <f>IFERROR(S348/$S$350,0)</f>
        <v>0.17499999999999999</v>
      </c>
      <c r="U348" s="819">
        <f>S348+(T348*$R$350)</f>
        <v>0.17499999999999999</v>
      </c>
      <c r="AE348" s="1029" t="s">
        <v>439</v>
      </c>
      <c r="AF348" s="968">
        <f>1-AF345</f>
        <v>1</v>
      </c>
      <c r="BE348" s="439"/>
    </row>
    <row r="349" spans="1:57" s="440" customFormat="1" ht="15" customHeight="1" x14ac:dyDescent="0.3">
      <c r="B349" s="849" t="s">
        <v>69</v>
      </c>
      <c r="C349" s="1032" t="str">
        <f>'II.Preliminary Feasibility'!D80</f>
        <v>If applicable, Is there a plan to address legal barriers through appropriate executive action or legislative reforms?</v>
      </c>
      <c r="D349" s="1032">
        <f t="shared" si="146"/>
        <v>1</v>
      </c>
      <c r="E349" s="808">
        <f>D62</f>
        <v>0.3</v>
      </c>
      <c r="F349" s="777" t="str">
        <f>IF(C349=0,"N/A",'II.Preliminary Feasibility'!AB80)</f>
        <v>Yes</v>
      </c>
      <c r="G349" s="783" t="str">
        <f>VLOOKUP(F349,$B$179:$F$184,4,FALSE)</f>
        <v>Yes</v>
      </c>
      <c r="H349" s="783">
        <f>VLOOKUP(G349,$B$179:$C$184,2,FALSE)</f>
        <v>1</v>
      </c>
      <c r="I349" s="793">
        <f t="shared" si="147"/>
        <v>0</v>
      </c>
      <c r="J349" s="793">
        <f t="shared" si="148"/>
        <v>0</v>
      </c>
      <c r="K349" s="794">
        <f>U349</f>
        <v>0.3</v>
      </c>
      <c r="L349" s="800">
        <f t="shared" si="149"/>
        <v>0.3</v>
      </c>
      <c r="M349" s="780"/>
      <c r="N349" s="780"/>
      <c r="O349" s="831"/>
      <c r="P349" s="831"/>
      <c r="Q349" s="1767">
        <f t="shared" si="150"/>
        <v>0</v>
      </c>
      <c r="R349" s="819">
        <f>IF(I349=1,E349,0)</f>
        <v>0</v>
      </c>
      <c r="S349" s="819">
        <f>IF(I349=1,0,E349)</f>
        <v>0.3</v>
      </c>
      <c r="T349" s="860">
        <f>IFERROR(S349/$S$350,0)</f>
        <v>0.3</v>
      </c>
      <c r="U349" s="819">
        <f>S349+(T349*$R$350)</f>
        <v>0.3</v>
      </c>
      <c r="AE349" s="1029" t="s">
        <v>440</v>
      </c>
      <c r="AF349" s="967">
        <f ca="1">AF347*AF348</f>
        <v>4.9999999999999991</v>
      </c>
      <c r="BE349" s="439"/>
    </row>
    <row r="350" spans="1:57" s="440" customFormat="1" ht="15" customHeight="1" thickBot="1" x14ac:dyDescent="0.35">
      <c r="B350" s="847"/>
      <c r="C350" s="520" t="s">
        <v>147</v>
      </c>
      <c r="D350" s="520"/>
      <c r="E350" s="843">
        <f ca="1">$N$344+$N$333+$N$327+$N$318+$N$310+$N$301</f>
        <v>5</v>
      </c>
      <c r="F350" s="520" t="str">
        <f ca="1">VLOOKUP($E$350,$J$198:$L$207,3,TRUE)</f>
        <v>Very Strong</v>
      </c>
      <c r="G350" s="520"/>
      <c r="H350" s="806"/>
      <c r="I350" s="806"/>
      <c r="J350" s="806"/>
      <c r="K350" s="806"/>
      <c r="L350" s="806"/>
      <c r="M350" s="806"/>
      <c r="N350" s="845"/>
      <c r="O350" s="845"/>
      <c r="P350" s="845"/>
      <c r="Q350" s="1766">
        <f>SUM(Q345:Q349)/(H344-I344)</f>
        <v>0</v>
      </c>
      <c r="R350" s="818">
        <f>SUM(R345:R349)</f>
        <v>0</v>
      </c>
      <c r="S350" s="818">
        <f>SUM(S345:S349)</f>
        <v>1</v>
      </c>
      <c r="T350" s="818">
        <f>SUM(T345:T349)</f>
        <v>1</v>
      </c>
      <c r="U350" s="818">
        <f>SUM(U345:U349)</f>
        <v>1</v>
      </c>
      <c r="BE350" s="439"/>
    </row>
    <row r="351" spans="1:57" s="440" customFormat="1" ht="15" customHeight="1" x14ac:dyDescent="0.3">
      <c r="B351" s="522"/>
      <c r="C351" s="523"/>
      <c r="G351" s="524"/>
      <c r="H351" s="525"/>
      <c r="P351" s="513"/>
      <c r="BE351" s="439"/>
    </row>
    <row r="352" spans="1:57" s="440" customFormat="1" ht="25.8" x14ac:dyDescent="0.5">
      <c r="A352" s="825" t="s">
        <v>507</v>
      </c>
      <c r="B352" s="526"/>
      <c r="C352" s="527"/>
      <c r="D352" s="929" t="s">
        <v>367</v>
      </c>
      <c r="E352" s="929"/>
      <c r="F352" s="929"/>
      <c r="G352" s="926"/>
      <c r="H352" s="927"/>
      <c r="I352" s="929"/>
      <c r="J352" s="929"/>
      <c r="K352" s="929"/>
      <c r="L352" s="929"/>
      <c r="M352" s="929"/>
      <c r="N352" s="929"/>
      <c r="O352" s="929"/>
      <c r="P352" s="928"/>
      <c r="Q352" s="928"/>
      <c r="R352" s="929" t="s">
        <v>456</v>
      </c>
      <c r="S352" s="929"/>
      <c r="T352" s="929"/>
      <c r="U352" s="929"/>
      <c r="V352" s="929"/>
      <c r="W352" s="929" t="s">
        <v>368</v>
      </c>
      <c r="X352" s="929"/>
      <c r="Y352" s="929"/>
      <c r="Z352" s="929"/>
      <c r="AA352" s="929"/>
      <c r="AB352" s="929"/>
      <c r="AC352" s="929"/>
      <c r="AD352" s="929"/>
      <c r="AE352" s="929" t="s">
        <v>369</v>
      </c>
      <c r="AF352" s="528"/>
      <c r="AG352" s="528"/>
      <c r="AH352" s="528"/>
      <c r="AI352" s="528"/>
      <c r="AJ352" s="528"/>
      <c r="AK352" s="530"/>
      <c r="AL352" s="530"/>
      <c r="AM352" s="528"/>
      <c r="AN352" s="528"/>
      <c r="AO352" s="528"/>
      <c r="AP352" s="528"/>
      <c r="AQ352" s="528"/>
      <c r="AR352" s="528"/>
      <c r="AS352" s="528"/>
      <c r="AT352" s="528"/>
      <c r="AU352" s="528"/>
      <c r="AV352" s="528"/>
      <c r="AW352" s="528"/>
      <c r="AX352" s="528"/>
      <c r="AY352" s="528"/>
      <c r="AZ352" s="528"/>
      <c r="BA352" s="528"/>
      <c r="BB352" s="528"/>
      <c r="BC352" s="528"/>
      <c r="BD352" s="528"/>
      <c r="BE352" s="439"/>
    </row>
    <row r="353" spans="2:57" s="440" customFormat="1" ht="15" customHeight="1" thickBot="1" x14ac:dyDescent="0.35">
      <c r="B353" s="522"/>
      <c r="C353" s="523"/>
      <c r="G353" s="524"/>
      <c r="H353" s="525"/>
      <c r="P353" s="513"/>
      <c r="AK353" s="441"/>
      <c r="AL353" s="441"/>
      <c r="BE353" s="439"/>
    </row>
    <row r="354" spans="2:57" s="440" customFormat="1" ht="30.75" customHeight="1" x14ac:dyDescent="0.3">
      <c r="B354" s="731" t="s">
        <v>31</v>
      </c>
      <c r="C354" s="731" t="s">
        <v>326</v>
      </c>
      <c r="D354" s="732" t="s">
        <v>464</v>
      </c>
      <c r="E354" s="732" t="s">
        <v>279</v>
      </c>
      <c r="F354" s="732" t="s">
        <v>32</v>
      </c>
      <c r="G354" s="732" t="s">
        <v>449</v>
      </c>
      <c r="H354" s="732" t="s">
        <v>355</v>
      </c>
      <c r="I354" s="732" t="s">
        <v>360</v>
      </c>
      <c r="J354" s="732" t="s">
        <v>361</v>
      </c>
      <c r="K354" s="732" t="s">
        <v>359</v>
      </c>
      <c r="L354" s="732" t="s">
        <v>340</v>
      </c>
      <c r="M354" s="732" t="s">
        <v>356</v>
      </c>
      <c r="N354" s="809" t="s">
        <v>365</v>
      </c>
      <c r="O354" s="809" t="s">
        <v>253</v>
      </c>
      <c r="P354" s="809" t="s">
        <v>115</v>
      </c>
      <c r="Q354" s="809" t="str">
        <f>Q274</f>
        <v>Applicable score constraints for cases with extremely poor responses (Negative, Uncertain and/or Skip) Refer cells B147:F149</v>
      </c>
      <c r="R354" s="731" t="s">
        <v>455</v>
      </c>
      <c r="S354" s="731" t="s">
        <v>374</v>
      </c>
      <c r="T354" s="731"/>
      <c r="U354" s="731"/>
      <c r="W354" s="856"/>
      <c r="X354" s="520"/>
      <c r="Z354" s="520"/>
      <c r="AA354" s="520" t="s">
        <v>372</v>
      </c>
      <c r="AB354" s="806"/>
      <c r="AE354" s="454" t="s">
        <v>370</v>
      </c>
      <c r="AF354" s="454" t="s">
        <v>371</v>
      </c>
      <c r="AG354" s="454" t="s">
        <v>282</v>
      </c>
      <c r="AN354" s="464" t="s">
        <v>205</v>
      </c>
      <c r="AO354" s="465" t="s">
        <v>321</v>
      </c>
      <c r="AP354" s="466"/>
      <c r="AQ354" s="466" t="s">
        <v>334</v>
      </c>
      <c r="AR354" s="466" t="s">
        <v>230</v>
      </c>
      <c r="AS354" s="466" t="s">
        <v>335</v>
      </c>
      <c r="AT354" s="466" t="s">
        <v>336</v>
      </c>
      <c r="AU354" s="466" t="s">
        <v>337</v>
      </c>
      <c r="AV354" s="466" t="s">
        <v>338</v>
      </c>
      <c r="AW354" s="466" t="s">
        <v>339</v>
      </c>
      <c r="AX354" s="466" t="s">
        <v>128</v>
      </c>
      <c r="AZ354" s="520" t="s">
        <v>823</v>
      </c>
      <c r="BA354" s="731" t="s">
        <v>342</v>
      </c>
      <c r="BB354" s="856" t="s">
        <v>50</v>
      </c>
      <c r="BC354" s="2049" t="str">
        <f>CONCATENATE("Countif Score b/w ",Admin!$L$69," - ",Admin!$L$68)</f>
        <v>Countif Score b/w 1.5 - 2</v>
      </c>
      <c r="BD354" s="2049" t="str">
        <f>CONCATENATE("Countif Score &lt;= ",Admin!$L$69)</f>
        <v>Countif Score &lt;= 1.5</v>
      </c>
      <c r="BE354" s="439"/>
    </row>
    <row r="355" spans="2:57" s="440" customFormat="1" ht="15" customHeight="1" x14ac:dyDescent="0.3">
      <c r="B355" s="767">
        <v>1</v>
      </c>
      <c r="C355" s="768"/>
      <c r="D355" s="768"/>
      <c r="E355" s="768"/>
      <c r="F355" s="768"/>
      <c r="G355" s="768"/>
      <c r="H355" s="768"/>
      <c r="I355" s="768"/>
      <c r="J355" s="769"/>
      <c r="K355" s="769"/>
      <c r="L355" s="768"/>
      <c r="M355" s="770"/>
      <c r="N355" s="770"/>
      <c r="O355" s="809"/>
      <c r="P355" s="809"/>
      <c r="Q355" s="1764"/>
      <c r="R355" s="731" t="s">
        <v>362</v>
      </c>
      <c r="S355" s="731" t="s">
        <v>364</v>
      </c>
      <c r="T355" s="731" t="s">
        <v>338</v>
      </c>
      <c r="U355" s="731" t="s">
        <v>336</v>
      </c>
      <c r="W355" s="520" t="s">
        <v>47</v>
      </c>
      <c r="X355" s="520" t="s">
        <v>373</v>
      </c>
      <c r="Z355" s="459">
        <v>1</v>
      </c>
      <c r="AA355" s="459" t="s">
        <v>9</v>
      </c>
      <c r="AB355" s="459">
        <f>$E$413*180/5</f>
        <v>180</v>
      </c>
      <c r="AE355" s="830" t="s">
        <v>34</v>
      </c>
      <c r="AF355" s="830">
        <f>COUNTIF($G$357:$G$412,"yes")</f>
        <v>40</v>
      </c>
      <c r="AG355" s="834">
        <f>AF355/$AF$360</f>
        <v>0.85106382978723405</v>
      </c>
      <c r="AN355" s="472">
        <v>1</v>
      </c>
      <c r="AO355" s="461" t="str">
        <f t="shared" ref="AO355:AO362" si="151">W356</f>
        <v>Risk of delay in land acquisition</v>
      </c>
      <c r="AP355" s="474">
        <f>IF($C$357=0,0,1)</f>
        <v>1</v>
      </c>
      <c r="AQ355" s="474">
        <f>Admin!I17</f>
        <v>0.125</v>
      </c>
      <c r="AR355" s="474">
        <f>Admin!G17</f>
        <v>5</v>
      </c>
      <c r="AS355" s="461">
        <f>IF($M$226*1=1,$I$227,IF($J$227&lt;5,5,MIN($J$227,$L$226,$P$227)))</f>
        <v>12.5</v>
      </c>
      <c r="AT355" s="474">
        <f t="shared" ref="AT355:AT357" si="152">IF(AP355=0,AQ355)*100</f>
        <v>0</v>
      </c>
      <c r="AU355" s="474">
        <f>IF(AP355=1,AQ355,0)*100</f>
        <v>12.5</v>
      </c>
      <c r="AV355" s="474">
        <f t="shared" ref="AV355:AV362" si="153">AU355/$AU$365</f>
        <v>0.125</v>
      </c>
      <c r="AW355" s="474">
        <f t="shared" ref="AW355:AW362" si="154">AV355*$AT$365</f>
        <v>0</v>
      </c>
      <c r="AX355" s="474">
        <f>IF($AP$355=0,0,$AW$355+$AS$355)</f>
        <v>12.5</v>
      </c>
      <c r="AZ355" s="459"/>
      <c r="BA355" s="459"/>
      <c r="BB355" s="2047"/>
      <c r="BC355" s="2047"/>
      <c r="BD355" s="459"/>
      <c r="BE355" s="439"/>
    </row>
    <row r="356" spans="2:57" s="440" customFormat="1" ht="15" customHeight="1" x14ac:dyDescent="0.3">
      <c r="B356" s="863">
        <f>'III.Risk Assessment'!B38</f>
        <v>1</v>
      </c>
      <c r="C356" s="863" t="str">
        <f>'III.Risk Assessment'!D38</f>
        <v>Risk of delay in land acquisition</v>
      </c>
      <c r="D356" s="863">
        <f>SUM(D357:D363)</f>
        <v>7</v>
      </c>
      <c r="E356" s="900">
        <f>Admin!I17</f>
        <v>0.125</v>
      </c>
      <c r="F356" s="864"/>
      <c r="G356" s="864"/>
      <c r="H356" s="1771">
        <f>COUNTA(H357:H363)</f>
        <v>7</v>
      </c>
      <c r="I356" s="1771">
        <f>SUM(I357:I363)</f>
        <v>0</v>
      </c>
      <c r="J356" s="1056">
        <f>COUNTIF(J357:J363,1)/COUNT(J357:J363)</f>
        <v>0</v>
      </c>
      <c r="K356" s="864"/>
      <c r="L356" s="865"/>
      <c r="M356" s="1825">
        <f>IF(AND('0.Basic Project Data'!H32&gt;0,'0.Basic Project Data'!$H$31="Yes"),AF396+((1-AF395)*M357),M357)</f>
        <v>4.9999999999999991</v>
      </c>
      <c r="N356" s="865">
        <f>E356*M356</f>
        <v>0.62499999999999989</v>
      </c>
      <c r="O356" s="529">
        <f>O357</f>
        <v>2</v>
      </c>
      <c r="P356" s="529"/>
      <c r="Q356" s="1772">
        <f>VLOOKUP(Q364,$D$147:$F$150,3)</f>
        <v>5</v>
      </c>
      <c r="R356" s="865"/>
      <c r="S356" s="529"/>
      <c r="T356" s="865"/>
      <c r="U356" s="529"/>
      <c r="W356" s="774" t="str">
        <f>C356</f>
        <v>Risk of delay in land acquisition</v>
      </c>
      <c r="X356" s="22">
        <f>M356</f>
        <v>4.9999999999999991</v>
      </c>
      <c r="Z356" s="459">
        <f>Z355+1</f>
        <v>2</v>
      </c>
      <c r="AA356" s="459" t="s">
        <v>10</v>
      </c>
      <c r="AB356" s="459">
        <v>1</v>
      </c>
      <c r="AE356" s="830" t="s">
        <v>39</v>
      </c>
      <c r="AF356" s="830">
        <f>COUNTIF($G$357:$G$412,"No")</f>
        <v>0</v>
      </c>
      <c r="AG356" s="834">
        <f>AF356/$AF$360</f>
        <v>0</v>
      </c>
      <c r="AN356" s="472">
        <f>AN355+1</f>
        <v>2</v>
      </c>
      <c r="AO356" s="461" t="str">
        <f t="shared" si="151"/>
        <v>Financing Risk</v>
      </c>
      <c r="AP356" s="474">
        <f>IF($C$366=0,0,1)</f>
        <v>1</v>
      </c>
      <c r="AQ356" s="474">
        <f>Admin!I18</f>
        <v>0.125</v>
      </c>
      <c r="AR356" s="474">
        <f>Admin!G18</f>
        <v>5</v>
      </c>
      <c r="AS356" s="461">
        <f>IF($M$226*1=1,$I$228,IF($J$228&lt;5,5,MIN($J$228,$L$227,$P$228)))</f>
        <v>12.5</v>
      </c>
      <c r="AT356" s="474">
        <f t="shared" si="152"/>
        <v>0</v>
      </c>
      <c r="AU356" s="474">
        <f t="shared" ref="AU356:AU357" si="155">IF(AP356=1,AQ356,0)*100</f>
        <v>12.5</v>
      </c>
      <c r="AV356" s="474">
        <f t="shared" si="153"/>
        <v>0.125</v>
      </c>
      <c r="AW356" s="474">
        <f t="shared" si="154"/>
        <v>0</v>
      </c>
      <c r="AX356" s="474">
        <f>IF($AP$356=0,0,$AW$356+$AS$356)</f>
        <v>12.5</v>
      </c>
      <c r="AZ356" s="459" t="str">
        <f>C356</f>
        <v>Risk of delay in land acquisition</v>
      </c>
      <c r="BA356" s="2047">
        <f>IF(D356&lt;=0,0,1)</f>
        <v>1</v>
      </c>
      <c r="BB356" s="2048">
        <f>M356</f>
        <v>4.9999999999999991</v>
      </c>
      <c r="BC356" s="2048">
        <f>IF(BA356&gt;0,IF(AND(BB356&gt;Admin!$L$69,BB356&lt;=Admin!$L$68),1,0),0)</f>
        <v>0</v>
      </c>
      <c r="BD356" s="459">
        <f>IF(BA356&gt;0,IF(BB356&lt;=Admin!$L$69,1,0),0)</f>
        <v>0</v>
      </c>
      <c r="BE356" s="439"/>
    </row>
    <row r="357" spans="2:57" s="440" customFormat="1" ht="15" customHeight="1" x14ac:dyDescent="0.3">
      <c r="B357" s="771" t="str">
        <f>'III.Risk Assessment'!B39</f>
        <v>(i)</v>
      </c>
      <c r="C357" s="790" t="str">
        <f>'III.Risk Assessment'!D39</f>
        <v>If the public sector needs to acquire land, has it identified suitable parcel(s)?</v>
      </c>
      <c r="D357" s="790">
        <f t="shared" ref="D357:D363" si="156">IF(C357=0,0,1)</f>
        <v>1</v>
      </c>
      <c r="E357" s="808">
        <f t="shared" ref="E357:E363" si="157">D65</f>
        <v>0.14285714285714285</v>
      </c>
      <c r="F357" s="874" t="str">
        <f>IF(C357=0,NA,'III.Risk Assessment'!AB39)</f>
        <v>Yes</v>
      </c>
      <c r="G357" s="783" t="str">
        <f t="shared" ref="G357" si="158">VLOOKUP(F357,$B$179:$F$184,4,FALSE)</f>
        <v>Yes</v>
      </c>
      <c r="H357" s="783">
        <f t="shared" ref="H357:H363" si="159">VLOOKUP(G357,$B$179:$C$184,2,FALSE)</f>
        <v>1</v>
      </c>
      <c r="I357" s="793">
        <f>IF(G357="N/A",1,0)</f>
        <v>0</v>
      </c>
      <c r="J357" s="793">
        <f>IF(G357="Skip",1,0)</f>
        <v>0</v>
      </c>
      <c r="K357" s="794">
        <f t="shared" ref="K357:K363" si="160">U357</f>
        <v>0.14285714285714285</v>
      </c>
      <c r="L357" s="800">
        <f t="shared" ref="L357:L363" si="161">K357*H357</f>
        <v>0.14285714285714285</v>
      </c>
      <c r="M357" s="1360">
        <f>MIN(Q356,IF(J356&gt;O303,MIN(O356,IF(OR(COUNTIF($G$357:$G$363,"no")&gt;=2,COUNTIF($G$357:$G$363,"Uncertain")&gt;=2),MIN(O357,(SUM(L357:L363)*$S$197)),(SUM(L357:L363)*$S$197))),IF(OR(COUNTIF($G$357:$G$363,"no")&gt;=2,COUNTIF($G$357:$G$363,"Uncertain")&gt;=2),MIN(O357,(SUM(L357:L363)*$S$197)+$AF$396),(SUM(L357:L363)*$S$197))))</f>
        <v>4.9999999999999991</v>
      </c>
      <c r="N357" s="875"/>
      <c r="O357" s="785">
        <v>2</v>
      </c>
      <c r="P357" s="785"/>
      <c r="Q357" s="1767">
        <f>IF(OR(G357="Yes",G357="N/A"),0,1)</f>
        <v>0</v>
      </c>
      <c r="R357" s="819">
        <f t="shared" ref="R357:R363" si="162">IF(I357=1,E357,0)</f>
        <v>0</v>
      </c>
      <c r="S357" s="819">
        <f t="shared" ref="S357:S363" si="163">IF(I357=1,0,E357)</f>
        <v>0.14285714285714285</v>
      </c>
      <c r="T357" s="860">
        <f t="shared" ref="T357:T363" si="164">IFERROR(S357/$S$364,0)</f>
        <v>0.14285714285714288</v>
      </c>
      <c r="U357" s="819">
        <f t="shared" ref="U357:U363" si="165">S357+(T357*$R$364)</f>
        <v>0.14285714285714285</v>
      </c>
      <c r="W357" s="774" t="str">
        <f>C365</f>
        <v>Financing Risk</v>
      </c>
      <c r="X357" s="22">
        <f>M365</f>
        <v>5</v>
      </c>
      <c r="Z357" s="459">
        <f>Z356+1</f>
        <v>3</v>
      </c>
      <c r="AA357" s="459" t="s">
        <v>11</v>
      </c>
      <c r="AB357" s="459">
        <f>360-AB355-AB356</f>
        <v>179</v>
      </c>
      <c r="AE357" s="830" t="s">
        <v>61</v>
      </c>
      <c r="AF357" s="830">
        <f>COUNTIF($F$357:$F$412,"Skip")</f>
        <v>0</v>
      </c>
      <c r="AG357" s="834">
        <f>AF357/$AF$360</f>
        <v>0</v>
      </c>
      <c r="AN357" s="472">
        <f>AN356+1</f>
        <v>3</v>
      </c>
      <c r="AO357" s="461" t="str">
        <f t="shared" si="151"/>
        <v xml:space="preserve">Design and Construction Risk </v>
      </c>
      <c r="AP357" s="474">
        <f>IF($C$372=0,0,1)</f>
        <v>1</v>
      </c>
      <c r="AQ357" s="474">
        <f>Admin!I19</f>
        <v>0.125</v>
      </c>
      <c r="AR357" s="474">
        <f>Admin!G19</f>
        <v>5</v>
      </c>
      <c r="AS357" s="461">
        <f>IF($M$226*1=1,$I$229,IF($J$229&lt;5,5,MIN($J$229,$L$228,$P$229)))</f>
        <v>12.5</v>
      </c>
      <c r="AT357" s="474">
        <f t="shared" si="152"/>
        <v>0</v>
      </c>
      <c r="AU357" s="474">
        <f t="shared" si="155"/>
        <v>12.5</v>
      </c>
      <c r="AV357" s="474">
        <f t="shared" si="153"/>
        <v>0.125</v>
      </c>
      <c r="AW357" s="474">
        <f t="shared" si="154"/>
        <v>0</v>
      </c>
      <c r="AX357" s="474">
        <f>IF($AP$357=0,0,$AW$357+$AS$357)</f>
        <v>12.5</v>
      </c>
      <c r="AZ357" s="459" t="str">
        <f>C365</f>
        <v>Financing Risk</v>
      </c>
      <c r="BA357" s="2047">
        <f>IF(D365&lt;=0,0,1)</f>
        <v>1</v>
      </c>
      <c r="BB357" s="2048">
        <f>M365</f>
        <v>5</v>
      </c>
      <c r="BC357" s="2048">
        <f>IF(BA357&gt;0,IF(AND(BB357&gt;Admin!$L$69,BB357&lt;=Admin!$L$68),1,0),0)</f>
        <v>0</v>
      </c>
      <c r="BD357" s="459">
        <f>IF(BA357&gt;0,IF(BB357&lt;=Admin!$L$69,1,0),0)</f>
        <v>0</v>
      </c>
      <c r="BE357" s="439"/>
    </row>
    <row r="358" spans="2:57" s="440" customFormat="1" ht="15" customHeight="1" x14ac:dyDescent="0.3">
      <c r="B358" s="771" t="str">
        <f>'III.Risk Assessment'!B40</f>
        <v>(ii)</v>
      </c>
      <c r="C358" s="790" t="str">
        <f>'III.Risk Assessment'!D40</f>
        <v>Has the government prepared or committed to prepare a fully-budgeted land acquisition plan?</v>
      </c>
      <c r="D358" s="790">
        <f t="shared" si="156"/>
        <v>1</v>
      </c>
      <c r="E358" s="808">
        <f t="shared" si="157"/>
        <v>0.14285714285714285</v>
      </c>
      <c r="F358" s="874" t="str">
        <f>IF(C358=0,NA,'III.Risk Assessment'!AB40)</f>
        <v>Yes</v>
      </c>
      <c r="G358" s="783" t="str">
        <f>IF($C$362=0,VLOOKUP(F358,$B$179:$F$184,5,FALSE),VLOOKUP(F358,$B$179:$F$184,4,FALSE))</f>
        <v>Yes</v>
      </c>
      <c r="H358" s="783">
        <f t="shared" si="159"/>
        <v>1</v>
      </c>
      <c r="I358" s="793">
        <f t="shared" ref="I358:I363" si="166">IF(G358="N/A",1,0)</f>
        <v>0</v>
      </c>
      <c r="J358" s="793">
        <f t="shared" ref="J358:J363" si="167">IF(G358="Skip",1,0)</f>
        <v>0</v>
      </c>
      <c r="K358" s="794">
        <f t="shared" si="160"/>
        <v>0.14285714285714285</v>
      </c>
      <c r="L358" s="800">
        <f t="shared" si="161"/>
        <v>0.14285714285714285</v>
      </c>
      <c r="M358" s="780"/>
      <c r="N358" s="831"/>
      <c r="O358" s="831"/>
      <c r="P358" s="831"/>
      <c r="Q358" s="1767">
        <f t="shared" ref="Q358:Q363" si="168">IF(OR(G358="Yes",G358="N/A"),0,1)</f>
        <v>0</v>
      </c>
      <c r="R358" s="819">
        <f t="shared" si="162"/>
        <v>0</v>
      </c>
      <c r="S358" s="819">
        <f t="shared" si="163"/>
        <v>0.14285714285714285</v>
      </c>
      <c r="T358" s="860">
        <f t="shared" si="164"/>
        <v>0.14285714285714288</v>
      </c>
      <c r="U358" s="819">
        <f t="shared" si="165"/>
        <v>0.14285714285714285</v>
      </c>
      <c r="W358" s="774" t="str">
        <f>C371</f>
        <v xml:space="preserve">Design and Construction Risk </v>
      </c>
      <c r="X358" s="22">
        <f>M371</f>
        <v>4.9999999999999991</v>
      </c>
      <c r="AE358" s="831" t="s">
        <v>160</v>
      </c>
      <c r="AF358" s="830">
        <f>COUNTIF($F$357:$F$412,"N/A")</f>
        <v>0</v>
      </c>
      <c r="AG358" s="834">
        <f>AF358/$AF$360</f>
        <v>0</v>
      </c>
      <c r="AN358" s="472">
        <f>AN357+1</f>
        <v>4</v>
      </c>
      <c r="AO358" s="461" t="str">
        <f t="shared" si="151"/>
        <v>Operations and Maintenance Risk</v>
      </c>
      <c r="AP358" s="474">
        <f>IF($C$380=0,0,1)</f>
        <v>1</v>
      </c>
      <c r="AQ358" s="474">
        <f>Admin!I20</f>
        <v>0.125</v>
      </c>
      <c r="AR358" s="474">
        <f>Admin!G20</f>
        <v>5</v>
      </c>
      <c r="AS358" s="461">
        <f t="shared" ref="AS358:AS361" si="169">IF($M$226*1=1,$I$229,IF($J$229&lt;5,5,MIN($J$229,$L$228,$P$229)))</f>
        <v>12.5</v>
      </c>
      <c r="AT358" s="474">
        <f t="shared" ref="AT358:AT361" si="170">IF(AP358=0,AQ358)*100</f>
        <v>0</v>
      </c>
      <c r="AU358" s="474">
        <f t="shared" ref="AU358:AU361" si="171">IF(AP358=1,AQ358,0)*100</f>
        <v>12.5</v>
      </c>
      <c r="AV358" s="474">
        <f t="shared" si="153"/>
        <v>0.125</v>
      </c>
      <c r="AW358" s="474">
        <f t="shared" si="154"/>
        <v>0</v>
      </c>
      <c r="AX358" s="474">
        <f>IF($AP$357=0,0,$AW$357+$AS$357)</f>
        <v>12.5</v>
      </c>
      <c r="AZ358" s="459" t="str">
        <f>C371</f>
        <v xml:space="preserve">Design and Construction Risk </v>
      </c>
      <c r="BA358" s="2047">
        <f>IF(D371&lt;=0,0,1)</f>
        <v>1</v>
      </c>
      <c r="BB358" s="2048">
        <f>M371</f>
        <v>4.9999999999999991</v>
      </c>
      <c r="BC358" s="2048">
        <f>IF(BA358&gt;0,IF(AND(BB358&gt;Admin!$L$69,BB358&lt;=Admin!$L$68),1,0),0)</f>
        <v>0</v>
      </c>
      <c r="BD358" s="459">
        <f>IF(BA358&gt;0,IF(BB358&lt;=Admin!$L$69,1,0),0)</f>
        <v>0</v>
      </c>
      <c r="BE358" s="439"/>
    </row>
    <row r="359" spans="2:57" s="440" customFormat="1" ht="15" customHeight="1" x14ac:dyDescent="0.3">
      <c r="B359" s="771" t="str">
        <f>'III.Risk Assessment'!B41</f>
        <v>(iii)</v>
      </c>
      <c r="C359" s="790" t="str">
        <f>'III.Risk Assessment'!D41</f>
        <v xml:space="preserve">Will the PPP agreement have provision of 100% unencumbered land as a condition precedent? </v>
      </c>
      <c r="D359" s="790">
        <f t="shared" si="156"/>
        <v>1</v>
      </c>
      <c r="E359" s="808">
        <f t="shared" si="157"/>
        <v>0.14285714285714285</v>
      </c>
      <c r="F359" s="874" t="str">
        <f>IF(C359=0,NA,'III.Risk Assessment'!AB41)</f>
        <v>Yes</v>
      </c>
      <c r="G359" s="783" t="str">
        <f>IF($C$362=0,VLOOKUP(F359,$B$179:$F$184,5,FALSE),VLOOKUP(F359,$B$179:$F$184,4,FALSE))</f>
        <v>Yes</v>
      </c>
      <c r="H359" s="783">
        <f t="shared" si="159"/>
        <v>1</v>
      </c>
      <c r="I359" s="793">
        <f t="shared" si="166"/>
        <v>0</v>
      </c>
      <c r="J359" s="793">
        <f t="shared" si="167"/>
        <v>0</v>
      </c>
      <c r="K359" s="794">
        <f t="shared" si="160"/>
        <v>0.14285714285714285</v>
      </c>
      <c r="L359" s="800">
        <f t="shared" si="161"/>
        <v>0.14285714285714285</v>
      </c>
      <c r="M359" s="780"/>
      <c r="N359" s="780"/>
      <c r="O359" s="780"/>
      <c r="P359" s="780"/>
      <c r="Q359" s="1767">
        <f t="shared" si="168"/>
        <v>0</v>
      </c>
      <c r="R359" s="819">
        <f t="shared" si="162"/>
        <v>0</v>
      </c>
      <c r="S359" s="819">
        <f t="shared" si="163"/>
        <v>0.14285714285714285</v>
      </c>
      <c r="T359" s="860">
        <f t="shared" si="164"/>
        <v>0.14285714285714288</v>
      </c>
      <c r="U359" s="819">
        <f t="shared" si="165"/>
        <v>0.14285714285714285</v>
      </c>
      <c r="W359" s="774" t="str">
        <f>C379</f>
        <v>Operations and Maintenance Risk</v>
      </c>
      <c r="X359" s="22">
        <f>M379</f>
        <v>5</v>
      </c>
      <c r="AE359" s="831" t="s">
        <v>79</v>
      </c>
      <c r="AF359" s="830">
        <f>COUNTIF($F$357:$F$412,"Uncertain")</f>
        <v>0</v>
      </c>
      <c r="AG359" s="834">
        <f>AF359/$AF$360</f>
        <v>0</v>
      </c>
      <c r="AK359" s="441"/>
      <c r="AL359" s="441"/>
      <c r="AN359" s="472">
        <f>AN358+1</f>
        <v>5</v>
      </c>
      <c r="AO359" s="461" t="str">
        <f t="shared" si="151"/>
        <v>Market Risk and Demand Risk</v>
      </c>
      <c r="AP359" s="474">
        <f>IF($C$385=0,0,1)</f>
        <v>1</v>
      </c>
      <c r="AQ359" s="474">
        <f>Admin!I21</f>
        <v>0.125</v>
      </c>
      <c r="AR359" s="474">
        <f>Admin!G21</f>
        <v>5</v>
      </c>
      <c r="AS359" s="461">
        <f t="shared" si="169"/>
        <v>12.5</v>
      </c>
      <c r="AT359" s="474">
        <f t="shared" si="170"/>
        <v>0</v>
      </c>
      <c r="AU359" s="474">
        <f t="shared" si="171"/>
        <v>12.5</v>
      </c>
      <c r="AV359" s="474">
        <f t="shared" si="153"/>
        <v>0.125</v>
      </c>
      <c r="AW359" s="474">
        <f t="shared" si="154"/>
        <v>0</v>
      </c>
      <c r="AX359" s="474">
        <f>IF($AP$357=0,0,$AW$357+$AS$357)</f>
        <v>12.5</v>
      </c>
      <c r="AZ359" s="459" t="str">
        <f>C379</f>
        <v>Operations and Maintenance Risk</v>
      </c>
      <c r="BA359" s="2047">
        <f>IF(D379&lt;=0,0,1)</f>
        <v>1</v>
      </c>
      <c r="BB359" s="2048">
        <f>M379</f>
        <v>5</v>
      </c>
      <c r="BC359" s="2048">
        <f>IF(BA359&gt;0,IF(AND(BB359&gt;Admin!$L$69,BB359&lt;=Admin!$L$68),1,0),0)</f>
        <v>0</v>
      </c>
      <c r="BD359" s="459">
        <f>IF(BA359&gt;0,IF(BB359&lt;=Admin!$L$69,1,0),0)</f>
        <v>0</v>
      </c>
      <c r="BE359" s="439"/>
    </row>
    <row r="360" spans="2:57" s="440" customFormat="1" ht="15" customHeight="1" x14ac:dyDescent="0.3">
      <c r="B360" s="771" t="str">
        <f>'III.Risk Assessment'!B42</f>
        <v>(iv)</v>
      </c>
      <c r="C360" s="790" t="str">
        <f>'III.Risk Assessment'!D42</f>
        <v>Will land acquisition lead to substantial involuntary resettlement?</v>
      </c>
      <c r="D360" s="790">
        <f t="shared" si="156"/>
        <v>1</v>
      </c>
      <c r="E360" s="808">
        <f t="shared" si="157"/>
        <v>0.14285714285714285</v>
      </c>
      <c r="F360" s="874" t="str">
        <f>IF(C360=0,NA,'III.Risk Assessment'!AB42)</f>
        <v>No</v>
      </c>
      <c r="G360" s="783" t="str">
        <f>IF($C$362=0,VLOOKUP(F360,$B$179:$F$184,4,FALSE),VLOOKUP(F360,$B$179:$F$184,5,FALSE))</f>
        <v>Yes</v>
      </c>
      <c r="H360" s="783">
        <f t="shared" si="159"/>
        <v>1</v>
      </c>
      <c r="I360" s="793">
        <f t="shared" si="166"/>
        <v>0</v>
      </c>
      <c r="J360" s="793">
        <f t="shared" si="167"/>
        <v>0</v>
      </c>
      <c r="K360" s="794">
        <f t="shared" si="160"/>
        <v>0.14285714285714285</v>
      </c>
      <c r="L360" s="800">
        <f t="shared" si="161"/>
        <v>0.14285714285714285</v>
      </c>
      <c r="M360" s="780"/>
      <c r="N360" s="780"/>
      <c r="O360" s="780"/>
      <c r="P360" s="780"/>
      <c r="Q360" s="1767">
        <f t="shared" si="168"/>
        <v>0</v>
      </c>
      <c r="R360" s="819">
        <f t="shared" si="162"/>
        <v>0</v>
      </c>
      <c r="S360" s="819">
        <f t="shared" si="163"/>
        <v>0.14285714285714285</v>
      </c>
      <c r="T360" s="860">
        <f t="shared" si="164"/>
        <v>0.14285714285714288</v>
      </c>
      <c r="U360" s="819">
        <f t="shared" si="165"/>
        <v>0.14285714285714285</v>
      </c>
      <c r="W360" s="774" t="str">
        <f>C384</f>
        <v>Market Risk and Demand Risk</v>
      </c>
      <c r="X360" s="22">
        <f>M384</f>
        <v>4.9999999999999991</v>
      </c>
      <c r="AE360" s="831" t="s">
        <v>220</v>
      </c>
      <c r="AF360" s="832">
        <f>COUNT(H357:H412)</f>
        <v>47</v>
      </c>
      <c r="AG360" s="780"/>
      <c r="AK360" s="441"/>
      <c r="AL360" s="441"/>
      <c r="AN360" s="472">
        <f t="shared" ref="AN360:AN362" si="172">AN359+1</f>
        <v>6</v>
      </c>
      <c r="AO360" s="461" t="str">
        <f t="shared" si="151"/>
        <v>Off Taker Risk</v>
      </c>
      <c r="AP360" s="474">
        <f>IF($C$393=0,0,1)</f>
        <v>1</v>
      </c>
      <c r="AQ360" s="474">
        <f>Admin!I22</f>
        <v>0.125</v>
      </c>
      <c r="AR360" s="474">
        <f>Admin!G22</f>
        <v>30</v>
      </c>
      <c r="AS360" s="461">
        <f t="shared" si="169"/>
        <v>12.5</v>
      </c>
      <c r="AT360" s="474">
        <f t="shared" si="170"/>
        <v>0</v>
      </c>
      <c r="AU360" s="474">
        <f t="shared" si="171"/>
        <v>12.5</v>
      </c>
      <c r="AV360" s="474">
        <f t="shared" si="153"/>
        <v>0.125</v>
      </c>
      <c r="AW360" s="474">
        <f t="shared" si="154"/>
        <v>0</v>
      </c>
      <c r="AX360" s="474">
        <f>IF($AP$357=0,0,$AW$357+$AS$357)</f>
        <v>12.5</v>
      </c>
      <c r="AZ360" s="459" t="str">
        <f>C384</f>
        <v>Market Risk and Demand Risk</v>
      </c>
      <c r="BA360" s="2047">
        <f>IF(D384&lt;=0,0,1)</f>
        <v>1</v>
      </c>
      <c r="BB360" s="2048">
        <f>M384</f>
        <v>4.9999999999999991</v>
      </c>
      <c r="BC360" s="2048">
        <f>IF(BA360&gt;0,IF(AND(BB360&gt;Admin!$L$69,BB360&lt;=Admin!$L$68),1,0),0)</f>
        <v>0</v>
      </c>
      <c r="BD360" s="459">
        <f>IF(BA360&gt;0,IF(BB360&lt;=Admin!$L$69,1,0),0)</f>
        <v>0</v>
      </c>
      <c r="BE360" s="439"/>
    </row>
    <row r="361" spans="2:57" s="440" customFormat="1" ht="15" customHeight="1" x14ac:dyDescent="0.3">
      <c r="B361" s="771" t="str">
        <f>'III.Risk Assessment'!B43</f>
        <v>(v)</v>
      </c>
      <c r="C361" s="790" t="str">
        <f>'III.Risk Assessment'!D43</f>
        <v>Will the project need to acquire forest or protected land?</v>
      </c>
      <c r="D361" s="790">
        <f t="shared" si="156"/>
        <v>1</v>
      </c>
      <c r="E361" s="808">
        <f t="shared" si="157"/>
        <v>0.14285714285714285</v>
      </c>
      <c r="F361" s="874" t="str">
        <f>IF(C361=0,NA,'III.Risk Assessment'!AB43)</f>
        <v>No</v>
      </c>
      <c r="G361" s="783" t="str">
        <f>IF($C$362=0,VLOOKUP(F361,$B$179:$F$184,5,FALSE),VLOOKUP(F361,$B$179:$F$184,5,FALSE))</f>
        <v>Yes</v>
      </c>
      <c r="H361" s="783">
        <f t="shared" si="159"/>
        <v>1</v>
      </c>
      <c r="I361" s="793">
        <f t="shared" si="166"/>
        <v>0</v>
      </c>
      <c r="J361" s="793">
        <f t="shared" si="167"/>
        <v>0</v>
      </c>
      <c r="K361" s="794">
        <f t="shared" si="160"/>
        <v>0.14285714285714285</v>
      </c>
      <c r="L361" s="800">
        <f t="shared" si="161"/>
        <v>0.14285714285714285</v>
      </c>
      <c r="M361" s="780"/>
      <c r="N361" s="780"/>
      <c r="O361" s="780"/>
      <c r="P361" s="780"/>
      <c r="Q361" s="1767">
        <f t="shared" si="168"/>
        <v>0</v>
      </c>
      <c r="R361" s="819">
        <f t="shared" si="162"/>
        <v>0</v>
      </c>
      <c r="S361" s="819">
        <f t="shared" si="163"/>
        <v>0.14285714285714285</v>
      </c>
      <c r="T361" s="860">
        <f t="shared" si="164"/>
        <v>0.14285714285714288</v>
      </c>
      <c r="U361" s="819">
        <f t="shared" si="165"/>
        <v>0.14285714285714285</v>
      </c>
      <c r="W361" s="858" t="str">
        <f>C392</f>
        <v>Off Taker Risk</v>
      </c>
      <c r="X361" s="22">
        <f>M392</f>
        <v>5</v>
      </c>
      <c r="AK361" s="441"/>
      <c r="AL361" s="441"/>
      <c r="AN361" s="472">
        <f t="shared" si="172"/>
        <v>7</v>
      </c>
      <c r="AO361" s="461" t="str">
        <f t="shared" si="151"/>
        <v>Foreign Exchange Risk</v>
      </c>
      <c r="AP361" s="474">
        <f>IF($C$399=0,0,1)</f>
        <v>1</v>
      </c>
      <c r="AQ361" s="474">
        <f>Admin!I23</f>
        <v>0.125</v>
      </c>
      <c r="AR361" s="474">
        <f>Admin!G23</f>
        <v>10</v>
      </c>
      <c r="AS361" s="461">
        <f t="shared" si="169"/>
        <v>12.5</v>
      </c>
      <c r="AT361" s="474">
        <f t="shared" si="170"/>
        <v>0</v>
      </c>
      <c r="AU361" s="474">
        <f t="shared" si="171"/>
        <v>12.5</v>
      </c>
      <c r="AV361" s="474">
        <f t="shared" si="153"/>
        <v>0.125</v>
      </c>
      <c r="AW361" s="474">
        <f t="shared" si="154"/>
        <v>0</v>
      </c>
      <c r="AX361" s="474">
        <f>IF($AP$357=0,0,$AW$357+$AS$357)</f>
        <v>12.5</v>
      </c>
      <c r="AZ361" s="459" t="str">
        <f>C392</f>
        <v>Off Taker Risk</v>
      </c>
      <c r="BA361" s="2047">
        <f>IF(D392&lt;=0,0,1)</f>
        <v>1</v>
      </c>
      <c r="BB361" s="2048">
        <f>M392</f>
        <v>5</v>
      </c>
      <c r="BC361" s="2048">
        <f>IF(BA361&gt;0,IF(AND(BB361&gt;Admin!$L$69,BB361&lt;=Admin!$L$68),1,0),0)</f>
        <v>0</v>
      </c>
      <c r="BD361" s="459">
        <f>IF(BA361&gt;0,IF(BB361&lt;=Admin!$L$69,1,0),0)</f>
        <v>0</v>
      </c>
      <c r="BE361" s="439"/>
    </row>
    <row r="362" spans="2:57" s="440" customFormat="1" ht="15" customHeight="1" thickBot="1" x14ac:dyDescent="0.35">
      <c r="B362" s="771" t="str">
        <f>'III.Risk Assessment'!B44</f>
        <v>(vI)</v>
      </c>
      <c r="C362" s="790" t="str">
        <f>'III.Risk Assessment'!D44</f>
        <v>Have there been substantial delays in land acquisition in similar projects in the past?</v>
      </c>
      <c r="D362" s="790">
        <f t="shared" si="156"/>
        <v>1</v>
      </c>
      <c r="E362" s="808">
        <f t="shared" si="157"/>
        <v>0.14285714285714285</v>
      </c>
      <c r="F362" s="874" t="str">
        <f>IF(C362=0,NA,'III.Risk Assessment'!AB44)</f>
        <v>No</v>
      </c>
      <c r="G362" s="783" t="str">
        <f>VLOOKUP(F362,$B$179:$F$184,5,FALSE)</f>
        <v>Yes</v>
      </c>
      <c r="H362" s="783">
        <f t="shared" si="159"/>
        <v>1</v>
      </c>
      <c r="I362" s="793">
        <f t="shared" si="166"/>
        <v>0</v>
      </c>
      <c r="J362" s="793">
        <f t="shared" si="167"/>
        <v>0</v>
      </c>
      <c r="K362" s="794">
        <f t="shared" si="160"/>
        <v>0.14285714285714285</v>
      </c>
      <c r="L362" s="800">
        <f t="shared" si="161"/>
        <v>0.14285714285714285</v>
      </c>
      <c r="M362" s="780"/>
      <c r="N362" s="780"/>
      <c r="O362" s="780"/>
      <c r="P362" s="780"/>
      <c r="Q362" s="1767">
        <f t="shared" si="168"/>
        <v>0</v>
      </c>
      <c r="R362" s="819">
        <f t="shared" si="162"/>
        <v>0</v>
      </c>
      <c r="S362" s="819">
        <f t="shared" si="163"/>
        <v>0.14285714285714285</v>
      </c>
      <c r="T362" s="860">
        <f t="shared" si="164"/>
        <v>0.14285714285714288</v>
      </c>
      <c r="U362" s="819">
        <f t="shared" si="165"/>
        <v>0.14285714285714285</v>
      </c>
      <c r="W362" s="774" t="str">
        <f>C398</f>
        <v>Foreign Exchange Risk</v>
      </c>
      <c r="X362" s="22">
        <f>M398</f>
        <v>5</v>
      </c>
      <c r="AE362" s="454" t="s">
        <v>224</v>
      </c>
      <c r="AF362" s="454" t="s">
        <v>126</v>
      </c>
      <c r="AG362" s="454" t="s">
        <v>144</v>
      </c>
      <c r="AK362" s="441"/>
      <c r="AL362" s="441"/>
      <c r="AN362" s="472">
        <f t="shared" si="172"/>
        <v>8</v>
      </c>
      <c r="AO362" s="461" t="str">
        <f t="shared" si="151"/>
        <v>Environmental and Social Risk</v>
      </c>
      <c r="AP362" s="478">
        <f>IF($C$406=0,0,1)</f>
        <v>1</v>
      </c>
      <c r="AQ362" s="478">
        <f>Admin!I23</f>
        <v>0.125</v>
      </c>
      <c r="AR362" s="478">
        <f>Admin!G23</f>
        <v>10</v>
      </c>
      <c r="AS362" s="461">
        <f>IF($M$226*1=1,$I$233,IF($J$233&lt;5,5,IF(MIN($J$233,$L$232,$P$233)+SUM($K$227:$K$232)&lt;$L$226,$L$227-SUM($K$228:$K$232),MIN($J$233,$L$232,$P$233))))</f>
        <v>12.5</v>
      </c>
      <c r="AT362" s="478">
        <f>IF(AP362=0,AQ362)*100</f>
        <v>0</v>
      </c>
      <c r="AU362" s="478">
        <f>IF(AP362=1,AQ362,0)*100</f>
        <v>12.5</v>
      </c>
      <c r="AV362" s="478">
        <f t="shared" si="153"/>
        <v>0.125</v>
      </c>
      <c r="AW362" s="478">
        <f t="shared" si="154"/>
        <v>0</v>
      </c>
      <c r="AX362" s="478">
        <f>IF($AP$362=0,0,$AW$362+$AS$362)</f>
        <v>12.5</v>
      </c>
      <c r="AZ362" s="459" t="str">
        <f>C398</f>
        <v>Foreign Exchange Risk</v>
      </c>
      <c r="BA362" s="2047">
        <f>IF(D398&lt;=0,0,1)</f>
        <v>1</v>
      </c>
      <c r="BB362" s="2048">
        <f>M398</f>
        <v>5</v>
      </c>
      <c r="BC362" s="2048">
        <f>IF(BA362&gt;0,IF(AND(BB362&gt;Admin!$L$69,BB362&lt;=Admin!$L$68),1,0),0)</f>
        <v>0</v>
      </c>
      <c r="BD362" s="459">
        <f>IF(BA362&gt;0,IF(BB362&lt;=Admin!$L$69,1,0),0)</f>
        <v>0</v>
      </c>
      <c r="BE362" s="439"/>
    </row>
    <row r="363" spans="2:57" s="440" customFormat="1" ht="15" customHeight="1" x14ac:dyDescent="0.3">
      <c r="B363" s="771" t="str">
        <f>'III.Risk Assessment'!B45</f>
        <v>(vII)</v>
      </c>
      <c r="C363" s="790" t="str">
        <f>'III.Risk Assessment'!D45</f>
        <v>Are there any other issues that could delay land acquisition?</v>
      </c>
      <c r="D363" s="790">
        <f t="shared" si="156"/>
        <v>1</v>
      </c>
      <c r="E363" s="808">
        <f t="shared" si="157"/>
        <v>0.14285714285714285</v>
      </c>
      <c r="F363" s="874" t="str">
        <f>IF(C363=0,NA,'III.Risk Assessment'!AB45)</f>
        <v>No</v>
      </c>
      <c r="G363" s="783" t="str">
        <f>VLOOKUP(F363,$B$179:$F$184,5,FALSE)</f>
        <v>Yes</v>
      </c>
      <c r="H363" s="783">
        <f t="shared" si="159"/>
        <v>1</v>
      </c>
      <c r="I363" s="793">
        <f t="shared" si="166"/>
        <v>0</v>
      </c>
      <c r="J363" s="793">
        <f t="shared" si="167"/>
        <v>0</v>
      </c>
      <c r="K363" s="794">
        <f t="shared" si="160"/>
        <v>0.14285714285714285</v>
      </c>
      <c r="L363" s="800">
        <f t="shared" si="161"/>
        <v>0.14285714285714285</v>
      </c>
      <c r="M363" s="780"/>
      <c r="N363" s="780"/>
      <c r="O363" s="780"/>
      <c r="P363" s="780"/>
      <c r="Q363" s="1767">
        <f t="shared" si="168"/>
        <v>0</v>
      </c>
      <c r="R363" s="819">
        <f t="shared" si="162"/>
        <v>0</v>
      </c>
      <c r="S363" s="819">
        <f t="shared" si="163"/>
        <v>0.14285714285714285</v>
      </c>
      <c r="T363" s="860">
        <f t="shared" si="164"/>
        <v>0.14285714285714288</v>
      </c>
      <c r="U363" s="819">
        <f t="shared" si="165"/>
        <v>0.14285714285714285</v>
      </c>
      <c r="W363" s="858" t="str">
        <f>C405</f>
        <v>Environmental and Social Risk</v>
      </c>
      <c r="X363" s="22">
        <f>M405</f>
        <v>5</v>
      </c>
      <c r="AE363" s="454"/>
      <c r="AF363" s="454"/>
      <c r="AG363" s="454"/>
      <c r="AK363" s="441"/>
      <c r="AL363" s="441"/>
      <c r="AN363" s="952"/>
      <c r="AO363" s="461"/>
      <c r="AP363" s="953"/>
      <c r="AQ363" s="953"/>
      <c r="AR363" s="953"/>
      <c r="AS363" s="461"/>
      <c r="AT363" s="953"/>
      <c r="AU363" s="953"/>
      <c r="AV363" s="953"/>
      <c r="AW363" s="953"/>
      <c r="AX363" s="953"/>
      <c r="AZ363" s="459" t="str">
        <f>C405</f>
        <v>Environmental and Social Risk</v>
      </c>
      <c r="BA363" s="2047">
        <f>IF(D405&lt;=0,0,1)</f>
        <v>1</v>
      </c>
      <c r="BB363" s="2048">
        <f>M405</f>
        <v>5</v>
      </c>
      <c r="BC363" s="2048">
        <f>IF(BA363&gt;0,IF(AND(BB363&gt;Admin!$L$69,BB363&lt;=Admin!$L$68),1,0),0)</f>
        <v>0</v>
      </c>
      <c r="BD363" s="459">
        <f>IF(BA363&gt;0,IF(BB363&lt;=Admin!$L$69,1,0),0)</f>
        <v>0</v>
      </c>
      <c r="BE363" s="439"/>
    </row>
    <row r="364" spans="2:57" s="440" customFormat="1" ht="15" customHeight="1" thickBot="1" x14ac:dyDescent="0.35">
      <c r="B364" s="771"/>
      <c r="C364" s="771"/>
      <c r="D364" s="771"/>
      <c r="E364" s="780"/>
      <c r="F364" s="874"/>
      <c r="G364" s="874"/>
      <c r="H364" s="776"/>
      <c r="I364" s="780"/>
      <c r="J364" s="780"/>
      <c r="K364" s="780"/>
      <c r="L364" s="780"/>
      <c r="M364" s="780"/>
      <c r="N364" s="780"/>
      <c r="O364" s="780"/>
      <c r="P364" s="780"/>
      <c r="Q364" s="1766">
        <f>IF(ISERROR(SUM(Q357:Q363)/(H356-I356)),0,SUM(Q357:Q363)/(H356-I356))</f>
        <v>0</v>
      </c>
      <c r="R364" s="773">
        <f>SUM(R357:R363)</f>
        <v>0</v>
      </c>
      <c r="S364" s="773">
        <f>SUM(S357:S363)</f>
        <v>0.99999999999999978</v>
      </c>
      <c r="T364" s="773">
        <f>SUM(T357:T363)</f>
        <v>1.0000000000000002</v>
      </c>
      <c r="U364" s="773">
        <f>SUM(U357:U363)</f>
        <v>0.99999999999999978</v>
      </c>
      <c r="AE364" s="454"/>
      <c r="AF364" s="454"/>
      <c r="AG364" s="454"/>
      <c r="AK364" s="441"/>
      <c r="AL364" s="441"/>
      <c r="AZ364" s="2052" t="s">
        <v>824</v>
      </c>
      <c r="BA364" s="2053"/>
      <c r="BB364" s="2051"/>
      <c r="BC364" s="2050">
        <f>SUM(BC356:BC363)</f>
        <v>0</v>
      </c>
      <c r="BD364" s="2050">
        <f>SUM(BD356:BD363)</f>
        <v>0</v>
      </c>
      <c r="BE364" s="439"/>
    </row>
    <row r="365" spans="2:57" s="440" customFormat="1" ht="15" customHeight="1" thickTop="1" thickBot="1" x14ac:dyDescent="0.35">
      <c r="B365" s="863">
        <f>'III.Risk Assessment'!B47</f>
        <v>2</v>
      </c>
      <c r="C365" s="863" t="str">
        <f>'III.Risk Assessment'!D47</f>
        <v>Financing Risk</v>
      </c>
      <c r="D365" s="863">
        <f>SUM(D366:D369)</f>
        <v>4</v>
      </c>
      <c r="E365" s="900">
        <f>Admin!I18</f>
        <v>0.125</v>
      </c>
      <c r="F365" s="864"/>
      <c r="G365" s="864"/>
      <c r="H365" s="1771">
        <f>COUNTA(H366:H369)</f>
        <v>4</v>
      </c>
      <c r="I365" s="1771">
        <f>SUM(I366:I369)</f>
        <v>0</v>
      </c>
      <c r="J365" s="1056">
        <f>COUNTIF(J366:J369,1)/COUNT(J366:J369)</f>
        <v>0</v>
      </c>
      <c r="K365" s="864"/>
      <c r="L365" s="865"/>
      <c r="M365" s="1360">
        <f>MIN(Q365,IF(Z255&gt;0,MIN($AA$255,IF(J365&gt;O303,MIN(O302,IF(COUNTIF($F$366:$F$369,"No")&gt;=2,2,IF(OR(COUNTIF($F$366:$F$369,"Uncertain")&gt;=2,COUNTIF($J$366:$J$370,"Skip")&gt;=3),MIN(O365,SUM(L366:L369)*$S$197),SUM(L366:L369)*$S$197))),IF(COUNTIF($F$366:$F$369,"No")&gt;=2,2,IF(OR(COUNTIF($F$366:$F$369,"Uncertain")&gt;=2,COUNTIF($J$366:$J$370,"Skip")&gt;=3),MIN(O365,SUM(L366:L369)*$S$197),SUM(L366:L369)*$S$197)))),IF(J365&gt;O303,MIN(O302,IF(COUNTIF($F$366:$F$369,"No")&gt;=2,2,IF(OR(COUNTIF($F$366:$F$369,"Uncertain")&gt;=2,COUNTIF($J$366:$J$370,"Skip")&gt;=3),MIN(O365,SUM(L366:L369)*$S$197),SUM(L366:L369)*$S$197))),IF(COUNTIF($F$366:$F$369,"No")&gt;=2,2,IF(OR(COUNTIF($F$366:$F$369,"Uncertain")&gt;=2,COUNTIF($J$366:$J$370,"Skip")&gt;=3),MIN(O365,SUM(L366:L369)*$S$197),SUM(L366:L369)*$S$197)))))</f>
        <v>5</v>
      </c>
      <c r="N365" s="865">
        <f>E365*M365</f>
        <v>0.625</v>
      </c>
      <c r="O365" s="529">
        <v>2.5</v>
      </c>
      <c r="P365" s="529"/>
      <c r="Q365" s="1772">
        <f>VLOOKUP(Q370,$D$147:$F$150,3)</f>
        <v>5</v>
      </c>
      <c r="R365" s="865"/>
      <c r="S365" s="529"/>
      <c r="T365" s="865"/>
      <c r="U365" s="529"/>
      <c r="AE365" s="454"/>
      <c r="AF365" s="454"/>
      <c r="AG365" s="454"/>
      <c r="AK365" s="441"/>
      <c r="AL365" s="441"/>
      <c r="AP365" s="452">
        <f>COUNTIF(AP355:AP363,1)</f>
        <v>8</v>
      </c>
      <c r="AT365" s="440">
        <f>SUM(AT355:AT363)</f>
        <v>0</v>
      </c>
      <c r="AU365" s="440">
        <f>SUM(AU355:AU363)</f>
        <v>100</v>
      </c>
      <c r="AZ365" s="2054" t="s">
        <v>825</v>
      </c>
      <c r="BA365" s="2055">
        <f>IF($BD$364&gt;=2,Admin!$N$71,IF($BC$364&gt;=2,Admin!$N$70,IF($BD$364=1,Admin!$N$69,IF($BC$364=1,Admin!$N$68,5))))</f>
        <v>5</v>
      </c>
      <c r="BE365" s="439"/>
    </row>
    <row r="366" spans="2:57" s="440" customFormat="1" ht="15" customHeight="1" x14ac:dyDescent="0.3">
      <c r="B366" s="771" t="str">
        <f>'III.Risk Assessment'!B48</f>
        <v>(i)</v>
      </c>
      <c r="C366" s="790" t="str">
        <f>'III.Risk Assessment'!D48</f>
        <v>Have similar PPP projects achieved financial close in the country or region?</v>
      </c>
      <c r="D366" s="790">
        <f t="shared" ref="D366:D369" si="173">IF(C366=0,0,1)</f>
        <v>1</v>
      </c>
      <c r="E366" s="808">
        <f>D72</f>
        <v>0.2</v>
      </c>
      <c r="F366" s="874" t="str">
        <f>IF(C366=0,NA,'III.Risk Assessment'!AB48)</f>
        <v>Yes</v>
      </c>
      <c r="G366" s="783" t="str">
        <f t="shared" ref="G366:G369" si="174">VLOOKUP(F366,$B$179:$F$184,4,FALSE)</f>
        <v>Yes</v>
      </c>
      <c r="H366" s="783">
        <f t="shared" ref="H366:H369" si="175">VLOOKUP(G366,$B$179:$C$184,2,FALSE)</f>
        <v>1</v>
      </c>
      <c r="I366" s="793">
        <f t="shared" ref="I366:I369" si="176">IF(G366="N/A",1,0)</f>
        <v>0</v>
      </c>
      <c r="J366" s="793">
        <f t="shared" ref="J366:J369" si="177">IF(G366="Skip",1,0)</f>
        <v>0</v>
      </c>
      <c r="K366" s="794">
        <f>U366</f>
        <v>0.2</v>
      </c>
      <c r="L366" s="800">
        <f t="shared" ref="L366:L369" si="178">K366*H366</f>
        <v>0.2</v>
      </c>
      <c r="M366" s="780"/>
      <c r="N366" s="831"/>
      <c r="O366" s="831"/>
      <c r="P366" s="831"/>
      <c r="Q366" s="1767">
        <f>IF(OR(G366="Yes",G366="N/A"),0,1)</f>
        <v>0</v>
      </c>
      <c r="R366" s="819">
        <f>IF(I366=1,E366,0)</f>
        <v>0</v>
      </c>
      <c r="S366" s="819">
        <f>IF(I366=1,0,E366)</f>
        <v>0.2</v>
      </c>
      <c r="T366" s="860">
        <f>IFERROR(S366/$S$370,0)</f>
        <v>0.2</v>
      </c>
      <c r="U366" s="819">
        <f>S366+(T366*$R$370)</f>
        <v>0.2</v>
      </c>
      <c r="AE366" s="531" t="s">
        <v>191</v>
      </c>
      <c r="AF366" s="515">
        <v>4</v>
      </c>
      <c r="AG366" s="515">
        <v>6</v>
      </c>
      <c r="AK366" s="441"/>
      <c r="AL366" s="441"/>
      <c r="BE366" s="439"/>
    </row>
    <row r="367" spans="2:57" s="440" customFormat="1" ht="15" customHeight="1" x14ac:dyDescent="0.3">
      <c r="B367" s="771" t="str">
        <f>'III.Risk Assessment'!B49</f>
        <v>(ii)</v>
      </c>
      <c r="C367" s="1030" t="str">
        <f>'III.Risk Assessment'!D49</f>
        <v>Are there financiers who will express or have expressed interest in the PPP?</v>
      </c>
      <c r="D367" s="1030">
        <f t="shared" si="173"/>
        <v>1</v>
      </c>
      <c r="E367" s="808">
        <f>D73</f>
        <v>0.4</v>
      </c>
      <c r="F367" s="874" t="str">
        <f>IF(C367=0,NA,'III.Risk Assessment'!AB49)</f>
        <v>Yes</v>
      </c>
      <c r="G367" s="783" t="str">
        <f t="shared" si="174"/>
        <v>Yes</v>
      </c>
      <c r="H367" s="783">
        <f t="shared" si="175"/>
        <v>1</v>
      </c>
      <c r="I367" s="793">
        <f t="shared" si="176"/>
        <v>0</v>
      </c>
      <c r="J367" s="793">
        <f t="shared" si="177"/>
        <v>0</v>
      </c>
      <c r="K367" s="794">
        <f>U367</f>
        <v>0.4</v>
      </c>
      <c r="L367" s="800">
        <f t="shared" si="178"/>
        <v>0.4</v>
      </c>
      <c r="M367" s="780"/>
      <c r="N367" s="831"/>
      <c r="O367" s="831"/>
      <c r="P367" s="831"/>
      <c r="Q367" s="1767">
        <f t="shared" ref="Q367:Q369" si="179">IF(OR(G367="Yes",G367="N/A"),0,1)</f>
        <v>0</v>
      </c>
      <c r="R367" s="819">
        <f>IF(I367=1,E367,0)</f>
        <v>0</v>
      </c>
      <c r="S367" s="819">
        <f>IF(I367=1,0,E367)</f>
        <v>0.4</v>
      </c>
      <c r="T367" s="860">
        <f>IFERROR(S367/$S$370,0)</f>
        <v>0.4</v>
      </c>
      <c r="U367" s="819">
        <f>S367+(T367*$R$370)</f>
        <v>0.4</v>
      </c>
      <c r="X367" s="520" t="s">
        <v>423</v>
      </c>
      <c r="Y367" s="462"/>
      <c r="Z367" s="1053"/>
      <c r="AE367" s="531" t="s">
        <v>190</v>
      </c>
      <c r="AF367" s="515">
        <f>IFERROR(IF('0.Basic Project Data'!H22='Data Analysis'!C159,'0.Basic Project Data'!$H$23*2,IF('0.Basic Project Data'!H22='Data Analysis'!C157,0,1)),0)</f>
        <v>1</v>
      </c>
      <c r="AG367" s="515">
        <f>IF('0.Basic Project Data'!$H$22="Hybrid Payments",2-'Data Analysis'!$AF$367,IF('0.Basic Project Data'!H22='Data Analysis'!C157,1,0))</f>
        <v>1</v>
      </c>
      <c r="AK367" s="441"/>
      <c r="AL367" s="441"/>
      <c r="BE367" s="439"/>
    </row>
    <row r="368" spans="2:57" s="440" customFormat="1" ht="15" customHeight="1" x14ac:dyDescent="0.3">
      <c r="B368" s="771" t="str">
        <f>'III.Risk Assessment'!B50</f>
        <v>(iii)</v>
      </c>
      <c r="C368" s="790" t="str">
        <f>'III.Risk Assessment'!D50</f>
        <v xml:space="preserve">Will financial close be a condition precedent to the effectiveness of the PPP agreement? </v>
      </c>
      <c r="D368" s="790">
        <f t="shared" si="173"/>
        <v>1</v>
      </c>
      <c r="E368" s="808">
        <f>D74</f>
        <v>0.2</v>
      </c>
      <c r="F368" s="874" t="str">
        <f>IF(C368=0,NA,'III.Risk Assessment'!AB50)</f>
        <v>Yes</v>
      </c>
      <c r="G368" s="783" t="str">
        <f t="shared" si="174"/>
        <v>Yes</v>
      </c>
      <c r="H368" s="783">
        <f t="shared" si="175"/>
        <v>1</v>
      </c>
      <c r="I368" s="793">
        <f t="shared" si="176"/>
        <v>0</v>
      </c>
      <c r="J368" s="793">
        <f t="shared" si="177"/>
        <v>0</v>
      </c>
      <c r="K368" s="794">
        <f>U368</f>
        <v>0.2</v>
      </c>
      <c r="L368" s="800">
        <f t="shared" si="178"/>
        <v>0.2</v>
      </c>
      <c r="M368" s="780"/>
      <c r="N368" s="780"/>
      <c r="O368" s="780"/>
      <c r="P368" s="780"/>
      <c r="Q368" s="1767">
        <f t="shared" si="179"/>
        <v>0</v>
      </c>
      <c r="R368" s="819">
        <f>IF(I368=1,E368,0)</f>
        <v>0</v>
      </c>
      <c r="S368" s="819">
        <f>IF(I368=1,0,E368)</f>
        <v>0.2</v>
      </c>
      <c r="T368" s="860">
        <f>IFERROR(S368/$S$370,0)</f>
        <v>0.2</v>
      </c>
      <c r="U368" s="819">
        <f>S368+(T368*$R$370)</f>
        <v>0.2</v>
      </c>
      <c r="X368" s="1024">
        <v>0</v>
      </c>
      <c r="Y368" s="1024">
        <v>0.05</v>
      </c>
      <c r="Z368" s="1025">
        <v>5</v>
      </c>
      <c r="AE368" s="531" t="s">
        <v>189</v>
      </c>
      <c r="AF368" s="515">
        <f>AF367/AF366</f>
        <v>0.25</v>
      </c>
      <c r="AG368" s="515">
        <f>AG367/AG366</f>
        <v>0.16666666666666666</v>
      </c>
      <c r="AK368" s="441"/>
      <c r="AL368" s="441"/>
      <c r="AM368" s="441"/>
      <c r="AN368" s="441"/>
      <c r="AO368" s="441"/>
      <c r="AP368" s="441"/>
      <c r="AQ368" s="441"/>
      <c r="BE368" s="439"/>
    </row>
    <row r="369" spans="2:57" s="440" customFormat="1" ht="15" customHeight="1" x14ac:dyDescent="0.3">
      <c r="B369" s="771" t="str">
        <f>'III.Risk Assessment'!B51</f>
        <v>(iv)</v>
      </c>
      <c r="C369" s="790" t="str">
        <f>'III.Risk Assessment'!D51</f>
        <v xml:space="preserve"> Can it be reasonably expected that financial close will not be delayed to affect materially the conditions of effectiveness of the PPP agreement?</v>
      </c>
      <c r="D369" s="790">
        <f t="shared" si="173"/>
        <v>1</v>
      </c>
      <c r="E369" s="808">
        <f>D75</f>
        <v>0.2</v>
      </c>
      <c r="F369" s="874" t="str">
        <f>IF(C369=0,NA,'III.Risk Assessment'!AB51)</f>
        <v>Yes</v>
      </c>
      <c r="G369" s="783" t="str">
        <f t="shared" si="174"/>
        <v>Yes</v>
      </c>
      <c r="H369" s="783">
        <f t="shared" si="175"/>
        <v>1</v>
      </c>
      <c r="I369" s="793">
        <f t="shared" si="176"/>
        <v>0</v>
      </c>
      <c r="J369" s="793">
        <f t="shared" si="177"/>
        <v>0</v>
      </c>
      <c r="K369" s="794">
        <f>U369</f>
        <v>0.2</v>
      </c>
      <c r="L369" s="800">
        <f t="shared" si="178"/>
        <v>0.2</v>
      </c>
      <c r="M369" s="780"/>
      <c r="N369" s="780"/>
      <c r="O369" s="780"/>
      <c r="P369" s="780"/>
      <c r="Q369" s="1767">
        <f t="shared" si="179"/>
        <v>0</v>
      </c>
      <c r="R369" s="819">
        <f>IF(I369=1,E369,0)</f>
        <v>0</v>
      </c>
      <c r="S369" s="819">
        <f>IF(I369=1,0,E369)</f>
        <v>0.2</v>
      </c>
      <c r="T369" s="860">
        <f>IFERROR(S369/$S$370,0)</f>
        <v>0.2</v>
      </c>
      <c r="U369" s="819">
        <f>S369+(T369*$R$370)</f>
        <v>0.2</v>
      </c>
      <c r="X369" s="1024">
        <f>Y368+0.01%</f>
        <v>5.0100000000000006E-2</v>
      </c>
      <c r="Y369" s="1026">
        <v>7.4999999999999997E-2</v>
      </c>
      <c r="Z369" s="1025">
        <v>4</v>
      </c>
      <c r="AI369" s="440" t="s">
        <v>271</v>
      </c>
      <c r="AK369" s="441"/>
      <c r="AL369" s="941"/>
      <c r="AM369" s="1041"/>
      <c r="AN369" s="1041"/>
      <c r="AO369" s="110"/>
      <c r="AP369" s="110"/>
      <c r="AQ369" s="110"/>
      <c r="BE369" s="439"/>
    </row>
    <row r="370" spans="2:57" s="440" customFormat="1" ht="15" customHeight="1" x14ac:dyDescent="0.3">
      <c r="B370" s="771"/>
      <c r="C370" s="771"/>
      <c r="D370" s="771"/>
      <c r="E370" s="780"/>
      <c r="F370" s="777"/>
      <c r="G370" s="777"/>
      <c r="H370" s="780"/>
      <c r="I370" s="780"/>
      <c r="J370" s="780"/>
      <c r="K370" s="780"/>
      <c r="L370" s="780"/>
      <c r="M370" s="780"/>
      <c r="N370" s="780"/>
      <c r="O370" s="780"/>
      <c r="P370" s="780"/>
      <c r="Q370" s="1766">
        <f>IF(ISERROR(SUM(Q366:Q369)/(H365-I365)),0,SUM(Q366:Q369)/(H365-I365))</f>
        <v>0</v>
      </c>
      <c r="R370" s="773">
        <f>SUM(R366:R369)</f>
        <v>0</v>
      </c>
      <c r="S370" s="773">
        <f t="shared" ref="S370" si="180">SUM(S366:S369)</f>
        <v>1</v>
      </c>
      <c r="T370" s="773">
        <f t="shared" ref="T370" si="181">SUM(T366:T369)</f>
        <v>1</v>
      </c>
      <c r="U370" s="773">
        <f t="shared" ref="U370" si="182">SUM(U366:U369)</f>
        <v>1</v>
      </c>
      <c r="X370" s="1026">
        <f>Y369+0.01%</f>
        <v>7.51E-2</v>
      </c>
      <c r="Y370" s="1026">
        <v>0.1</v>
      </c>
      <c r="Z370" s="1025">
        <v>3</v>
      </c>
      <c r="AB370" s="1818"/>
      <c r="AC370" s="515"/>
      <c r="AD370" s="515"/>
      <c r="AE370" s="515"/>
      <c r="AF370" s="515"/>
      <c r="AG370" s="515"/>
      <c r="AH370" s="515"/>
      <c r="AI370" s="515"/>
      <c r="AK370" s="441"/>
      <c r="AL370" s="2495"/>
      <c r="AM370" s="441"/>
      <c r="AN370" s="1042"/>
      <c r="AO370" s="441"/>
      <c r="AP370" s="441"/>
      <c r="AQ370" s="441"/>
      <c r="BE370" s="439"/>
    </row>
    <row r="371" spans="2:57" s="440" customFormat="1" ht="15" customHeight="1" x14ac:dyDescent="0.3">
      <c r="B371" s="863">
        <f>'III.Risk Assessment'!B53</f>
        <v>3</v>
      </c>
      <c r="C371" s="863" t="str">
        <f>'III.Risk Assessment'!D53</f>
        <v xml:space="preserve">Design and Construction Risk </v>
      </c>
      <c r="D371" s="863">
        <f>SUM(D372:D377)</f>
        <v>6</v>
      </c>
      <c r="E371" s="900">
        <f>Admin!I19</f>
        <v>0.125</v>
      </c>
      <c r="F371" s="864"/>
      <c r="G371" s="864"/>
      <c r="H371" s="1771">
        <f>COUNTA(H372:H377)</f>
        <v>6</v>
      </c>
      <c r="I371" s="1771">
        <f>SUM(I372:I377)</f>
        <v>0</v>
      </c>
      <c r="J371" s="1056">
        <f>COUNTIF(J372:J377,1)/COUNT(J372:J377)</f>
        <v>0</v>
      </c>
      <c r="K371" s="864"/>
      <c r="L371" s="865"/>
      <c r="M371" s="1360">
        <f>MIN(Q371,IF(J371&gt;O303,MIN(O302,IF(OR(COUNTIF(F372:F377,"No")&gt;=2,COUNTIF(H372:H377,0.5)&gt;=2),MIN($O$371,SUM(L372:L377)*$S$197),SUM(L372:L377)*$S$197)),IF(OR(COUNTIF(F372:F377,"No")&gt;=2,COUNTIF(H372:H377,0.5)&gt;=2),MIN($O$371,SUM(L372:L377)*$S$197),SUM(L372:L377)*$S$197)))</f>
        <v>4.9999999999999991</v>
      </c>
      <c r="N371" s="865">
        <f>E371*M371</f>
        <v>0.62499999999999989</v>
      </c>
      <c r="O371" s="529">
        <v>2</v>
      </c>
      <c r="P371" s="529"/>
      <c r="Q371" s="1772">
        <f>VLOOKUP(Q378,$D$147:$F$150,3)</f>
        <v>5</v>
      </c>
      <c r="R371" s="865"/>
      <c r="S371" s="529"/>
      <c r="T371" s="865"/>
      <c r="U371" s="529"/>
      <c r="X371" s="1026">
        <f>Y370+0.01%</f>
        <v>0.10010000000000001</v>
      </c>
      <c r="Y371" s="1026">
        <v>0.15</v>
      </c>
      <c r="Z371" s="1025">
        <v>2</v>
      </c>
      <c r="AB371" s="1818"/>
      <c r="AC371" s="515"/>
      <c r="AD371" s="1014"/>
      <c r="AE371" s="1015" t="s">
        <v>388</v>
      </c>
      <c r="AF371" s="1015"/>
      <c r="AG371" s="1016"/>
      <c r="AH371" s="1010"/>
      <c r="AI371" s="1010"/>
      <c r="AJ371" s="965"/>
      <c r="AK371" s="441"/>
      <c r="AL371" s="2495"/>
      <c r="AM371" s="1043"/>
      <c r="AN371" s="1042"/>
      <c r="AO371" s="441"/>
      <c r="AP371" s="441"/>
      <c r="AQ371" s="441"/>
      <c r="BE371" s="439"/>
    </row>
    <row r="372" spans="2:57" s="440" customFormat="1" ht="15" customHeight="1" x14ac:dyDescent="0.3">
      <c r="B372" s="771" t="str">
        <f>'III.Risk Assessment'!B54</f>
        <v>(i)</v>
      </c>
      <c r="C372" s="790" t="str">
        <f>'III.Risk Assessment'!D54</f>
        <v>Is the project likely to be based on technology that has been proven commercially in similar environments previously?</v>
      </c>
      <c r="D372" s="790">
        <f t="shared" ref="D372:D377" si="183">IF(C372=0,0,1)</f>
        <v>1</v>
      </c>
      <c r="E372" s="808">
        <f t="shared" ref="E372:E377" si="184">D76</f>
        <v>0.16666666666666666</v>
      </c>
      <c r="F372" s="874" t="str">
        <f>IF(C372=0,NA,'III.Risk Assessment'!AB54)</f>
        <v>Yes</v>
      </c>
      <c r="G372" s="783" t="str">
        <f t="shared" ref="G372:G377" si="185">VLOOKUP(F372,$B$179:$F$184,4,FALSE)</f>
        <v>Yes</v>
      </c>
      <c r="H372" s="783">
        <f t="shared" ref="H372:H377" si="186">VLOOKUP(G372,$B$179:$C$184,2,FALSE)</f>
        <v>1</v>
      </c>
      <c r="I372" s="793">
        <f t="shared" ref="I372:I377" si="187">IF(G372="N/A",1,0)</f>
        <v>0</v>
      </c>
      <c r="J372" s="793">
        <f t="shared" ref="J372:J377" si="188">IF(G372="Skip",1,0)</f>
        <v>0</v>
      </c>
      <c r="K372" s="794">
        <f t="shared" ref="K372:K377" si="189">U372</f>
        <v>0.16666666666666666</v>
      </c>
      <c r="L372" s="800">
        <f t="shared" ref="L372:L377" si="190">K372*H372</f>
        <v>0.16666666666666666</v>
      </c>
      <c r="M372" s="780"/>
      <c r="N372" s="831"/>
      <c r="O372" s="831"/>
      <c r="P372" s="831"/>
      <c r="Q372" s="1767">
        <f>IF(OR(G372="Yes",G372="N/A"),0,1)</f>
        <v>0</v>
      </c>
      <c r="R372" s="819">
        <f t="shared" ref="R372:R377" si="191">IF(I372=1,E372,0)</f>
        <v>0</v>
      </c>
      <c r="S372" s="819">
        <f t="shared" ref="S372:S377" si="192">IF(I372=1,0,E372)</f>
        <v>0.16666666666666666</v>
      </c>
      <c r="T372" s="860">
        <f t="shared" ref="T372:T377" si="193">IFERROR(S372/$S$378,0)</f>
        <v>0.16666666666666669</v>
      </c>
      <c r="U372" s="819">
        <f t="shared" ref="U372:U377" si="194">S372+(T372*$R$378)</f>
        <v>0.16666666666666666</v>
      </c>
      <c r="X372" s="1026">
        <f>Y371+0.01%</f>
        <v>0.15009999999999998</v>
      </c>
      <c r="Y372" s="1026">
        <v>1</v>
      </c>
      <c r="Z372" s="1025">
        <v>1</v>
      </c>
      <c r="AB372" s="1818"/>
      <c r="AC372" s="515"/>
      <c r="AD372" s="2491" t="s">
        <v>397</v>
      </c>
      <c r="AE372" s="461">
        <v>0</v>
      </c>
      <c r="AF372" s="461">
        <v>50</v>
      </c>
      <c r="AG372" s="461" t="s">
        <v>391</v>
      </c>
      <c r="AH372" s="515"/>
      <c r="AI372" s="515"/>
      <c r="AK372" s="441"/>
      <c r="AL372" s="2495"/>
      <c r="AM372" s="1043"/>
      <c r="AN372" s="535"/>
      <c r="AO372" s="441"/>
      <c r="AP372" s="441"/>
      <c r="AQ372" s="441"/>
      <c r="BE372" s="439"/>
    </row>
    <row r="373" spans="2:57" s="440" customFormat="1" ht="15" customHeight="1" x14ac:dyDescent="0.3">
      <c r="B373" s="771" t="str">
        <f>'III.Risk Assessment'!B55</f>
        <v>(ii)</v>
      </c>
      <c r="C373" s="790" t="str">
        <f>'III.Risk Assessment'!D55</f>
        <v>Is the proposed site accessible with any potential challenges during construction being manageable?</v>
      </c>
      <c r="D373" s="790">
        <f t="shared" si="183"/>
        <v>1</v>
      </c>
      <c r="E373" s="808">
        <f t="shared" si="184"/>
        <v>0.16666666666666666</v>
      </c>
      <c r="F373" s="874" t="str">
        <f>IF(C373=0,NA,'III.Risk Assessment'!AB55)</f>
        <v>Yes</v>
      </c>
      <c r="G373" s="783" t="str">
        <f t="shared" si="185"/>
        <v>Yes</v>
      </c>
      <c r="H373" s="783">
        <f t="shared" si="186"/>
        <v>1</v>
      </c>
      <c r="I373" s="793">
        <f t="shared" si="187"/>
        <v>0</v>
      </c>
      <c r="J373" s="793">
        <f t="shared" si="188"/>
        <v>0</v>
      </c>
      <c r="K373" s="794">
        <f t="shared" si="189"/>
        <v>0.16666666666666666</v>
      </c>
      <c r="L373" s="800">
        <f t="shared" si="190"/>
        <v>0.16666666666666666</v>
      </c>
      <c r="M373" s="780"/>
      <c r="N373" s="780"/>
      <c r="O373" s="780"/>
      <c r="P373" s="780"/>
      <c r="Q373" s="1767">
        <f t="shared" ref="Q373:Q377" si="195">IF(OR(G373="Yes",G373="N/A"),0,1)</f>
        <v>0</v>
      </c>
      <c r="R373" s="819">
        <f t="shared" si="191"/>
        <v>0</v>
      </c>
      <c r="S373" s="819">
        <f t="shared" si="192"/>
        <v>0.16666666666666666</v>
      </c>
      <c r="T373" s="860">
        <f t="shared" si="193"/>
        <v>0.16666666666666669</v>
      </c>
      <c r="U373" s="819">
        <f t="shared" si="194"/>
        <v>0.16666666666666666</v>
      </c>
      <c r="X373" s="520" t="str">
        <f>'0.Basic Project Data'!D52</f>
        <v>What has been the five-year average national currency depreciation vis-à-vis a benchmark currency?</v>
      </c>
      <c r="Y373" s="1027">
        <f>'0.Basic Project Data'!H52</f>
        <v>0</v>
      </c>
      <c r="Z373" s="743">
        <f>IF(ISERROR(ABS($Y$373)&gt;=0),$Z$374,VLOOKUP(Y373,$X$368:$Z$372,3,TRUE))</f>
        <v>5</v>
      </c>
      <c r="AB373" s="1818"/>
      <c r="AC373" s="515"/>
      <c r="AD373" s="2491"/>
      <c r="AE373" s="461">
        <v>51</v>
      </c>
      <c r="AF373" s="461">
        <v>100</v>
      </c>
      <c r="AG373" s="461" t="s">
        <v>395</v>
      </c>
      <c r="AH373" s="515"/>
      <c r="AI373" s="515"/>
      <c r="AK373" s="441"/>
      <c r="AL373" s="2495"/>
      <c r="AM373" s="1043"/>
      <c r="AN373" s="535"/>
      <c r="AO373" s="441"/>
      <c r="AP373" s="441"/>
      <c r="AQ373" s="441"/>
      <c r="BE373" s="439"/>
    </row>
    <row r="374" spans="2:57" s="440" customFormat="1" ht="15" customHeight="1" x14ac:dyDescent="0.3">
      <c r="B374" s="771" t="str">
        <f>'III.Risk Assessment'!B56</f>
        <v>(iii)</v>
      </c>
      <c r="C374" s="790" t="str">
        <f>'III.Risk Assessment'!D56</f>
        <v>Will the project be able to source the required skills in relation to the project's construction and  operations and maintenance (O&amp;M) (as applicable)?</v>
      </c>
      <c r="D374" s="790">
        <f t="shared" si="183"/>
        <v>1</v>
      </c>
      <c r="E374" s="808">
        <f t="shared" si="184"/>
        <v>0.16666666666666666</v>
      </c>
      <c r="F374" s="874" t="str">
        <f>IF(C374=0,NA,'III.Risk Assessment'!AB56)</f>
        <v>Yes</v>
      </c>
      <c r="G374" s="783" t="str">
        <f t="shared" si="185"/>
        <v>Yes</v>
      </c>
      <c r="H374" s="783">
        <f t="shared" si="186"/>
        <v>1</v>
      </c>
      <c r="I374" s="793">
        <f t="shared" si="187"/>
        <v>0</v>
      </c>
      <c r="J374" s="793">
        <f t="shared" si="188"/>
        <v>0</v>
      </c>
      <c r="K374" s="794">
        <f t="shared" si="189"/>
        <v>0.16666666666666666</v>
      </c>
      <c r="L374" s="800">
        <f t="shared" si="190"/>
        <v>0.16666666666666666</v>
      </c>
      <c r="M374" s="780"/>
      <c r="N374" s="780"/>
      <c r="O374" s="780"/>
      <c r="P374" s="780"/>
      <c r="Q374" s="1767">
        <f t="shared" si="195"/>
        <v>0</v>
      </c>
      <c r="R374" s="819">
        <f t="shared" si="191"/>
        <v>0</v>
      </c>
      <c r="S374" s="819">
        <f t="shared" si="192"/>
        <v>0.16666666666666666</v>
      </c>
      <c r="T374" s="860">
        <f t="shared" si="193"/>
        <v>0.16666666666666669</v>
      </c>
      <c r="U374" s="819">
        <f t="shared" si="194"/>
        <v>0.16666666666666666</v>
      </c>
      <c r="X374" s="441" t="s">
        <v>475</v>
      </c>
      <c r="Z374" s="441">
        <v>2.5</v>
      </c>
      <c r="AB374" s="1818"/>
      <c r="AC374" s="515"/>
      <c r="AD374" s="2491"/>
      <c r="AE374" s="461">
        <v>101</v>
      </c>
      <c r="AF374" s="461">
        <v>500</v>
      </c>
      <c r="AG374" s="461" t="s">
        <v>390</v>
      </c>
      <c r="AH374" s="515"/>
      <c r="AI374" s="515"/>
      <c r="AK374" s="441"/>
      <c r="AL374" s="2495"/>
      <c r="AM374" s="1043"/>
      <c r="AN374" s="535"/>
      <c r="AO374" s="441"/>
      <c r="AP374" s="441"/>
      <c r="AQ374" s="441"/>
      <c r="BE374" s="439"/>
    </row>
    <row r="375" spans="2:57" s="440" customFormat="1" ht="15" customHeight="1" x14ac:dyDescent="0.3">
      <c r="B375" s="771" t="str">
        <f>'III.Risk Assessment'!B57</f>
        <v>(iv)</v>
      </c>
      <c r="C375" s="790" t="str">
        <f>'III.Risk Assessment'!D57</f>
        <v>Does the project scope allow the private sector to manage efficiently the design, construction, and commissioning risks?</v>
      </c>
      <c r="D375" s="790">
        <f t="shared" si="183"/>
        <v>1</v>
      </c>
      <c r="E375" s="808">
        <f t="shared" si="184"/>
        <v>0.16666666666666666</v>
      </c>
      <c r="F375" s="874" t="str">
        <f>IF(C375=0,NA,'III.Risk Assessment'!AB57)</f>
        <v>Yes</v>
      </c>
      <c r="G375" s="783" t="str">
        <f t="shared" si="185"/>
        <v>Yes</v>
      </c>
      <c r="H375" s="783">
        <f t="shared" si="186"/>
        <v>1</v>
      </c>
      <c r="I375" s="793">
        <f t="shared" si="187"/>
        <v>0</v>
      </c>
      <c r="J375" s="793">
        <f t="shared" si="188"/>
        <v>0</v>
      </c>
      <c r="K375" s="794">
        <f t="shared" si="189"/>
        <v>0.16666666666666666</v>
      </c>
      <c r="L375" s="800">
        <f t="shared" si="190"/>
        <v>0.16666666666666666</v>
      </c>
      <c r="M375" s="780"/>
      <c r="N375" s="780"/>
      <c r="O375" s="780"/>
      <c r="P375" s="780"/>
      <c r="Q375" s="1767">
        <f t="shared" si="195"/>
        <v>0</v>
      </c>
      <c r="R375" s="819">
        <f t="shared" si="191"/>
        <v>0</v>
      </c>
      <c r="S375" s="819">
        <f t="shared" si="192"/>
        <v>0.16666666666666666</v>
      </c>
      <c r="T375" s="860">
        <f t="shared" si="193"/>
        <v>0.16666666666666669</v>
      </c>
      <c r="U375" s="819">
        <f t="shared" si="194"/>
        <v>0.16666666666666666</v>
      </c>
      <c r="X375" s="520" t="s">
        <v>423</v>
      </c>
      <c r="Y375" s="439"/>
      <c r="Z375" s="1051">
        <f>Z373</f>
        <v>5</v>
      </c>
      <c r="AB375" s="515"/>
      <c r="AC375" s="515"/>
      <c r="AD375" s="2491"/>
      <c r="AE375" s="461">
        <v>501</v>
      </c>
      <c r="AF375" s="461">
        <v>1000</v>
      </c>
      <c r="AG375" s="461" t="s">
        <v>396</v>
      </c>
      <c r="AH375" s="515"/>
      <c r="AI375" s="515"/>
      <c r="AK375" s="441"/>
      <c r="AL375" s="2495"/>
      <c r="AM375" s="441"/>
      <c r="AN375" s="441"/>
      <c r="AO375" s="441"/>
      <c r="AP375" s="1044"/>
      <c r="AQ375" s="1044"/>
      <c r="BE375" s="439"/>
    </row>
    <row r="376" spans="2:57" s="440" customFormat="1" ht="15" customHeight="1" x14ac:dyDescent="0.3">
      <c r="B376" s="771" t="str">
        <f>'III.Risk Assessment'!B58</f>
        <v>(v)</v>
      </c>
      <c r="C376" s="790" t="str">
        <f>'III.Risk Assessment'!D58</f>
        <v>Will there be a strong system to manage contractor/subcontractor performance and construction-related challenges?</v>
      </c>
      <c r="D376" s="790">
        <f t="shared" si="183"/>
        <v>1</v>
      </c>
      <c r="E376" s="808">
        <f t="shared" si="184"/>
        <v>0.16666666666666666</v>
      </c>
      <c r="F376" s="874" t="str">
        <f>IF(C376=0,NA,'III.Risk Assessment'!AB58)</f>
        <v>Yes</v>
      </c>
      <c r="G376" s="783" t="str">
        <f t="shared" si="185"/>
        <v>Yes</v>
      </c>
      <c r="H376" s="783">
        <f t="shared" si="186"/>
        <v>1</v>
      </c>
      <c r="I376" s="793">
        <f t="shared" si="187"/>
        <v>0</v>
      </c>
      <c r="J376" s="793">
        <f t="shared" si="188"/>
        <v>0</v>
      </c>
      <c r="K376" s="794">
        <f t="shared" si="189"/>
        <v>0.16666666666666666</v>
      </c>
      <c r="L376" s="800">
        <f t="shared" si="190"/>
        <v>0.16666666666666666</v>
      </c>
      <c r="M376" s="780"/>
      <c r="N376" s="780"/>
      <c r="O376" s="780"/>
      <c r="P376" s="780"/>
      <c r="Q376" s="1767">
        <f t="shared" si="195"/>
        <v>0</v>
      </c>
      <c r="R376" s="819">
        <f t="shared" si="191"/>
        <v>0</v>
      </c>
      <c r="S376" s="819">
        <f t="shared" si="192"/>
        <v>0.16666666666666666</v>
      </c>
      <c r="T376" s="860">
        <f t="shared" si="193"/>
        <v>0.16666666666666669</v>
      </c>
      <c r="U376" s="819">
        <f t="shared" si="194"/>
        <v>0.16666666666666666</v>
      </c>
      <c r="X376" s="520" t="s">
        <v>424</v>
      </c>
      <c r="Y376" s="439"/>
      <c r="Z376" s="1052">
        <f>J15</f>
        <v>0.5</v>
      </c>
      <c r="AB376" s="515"/>
      <c r="AC376" s="515"/>
      <c r="AD376" s="2491"/>
      <c r="AE376" s="461">
        <v>1001</v>
      </c>
      <c r="AF376" s="461">
        <v>1000000</v>
      </c>
      <c r="AG376" s="461" t="s">
        <v>389</v>
      </c>
      <c r="AH376" s="515"/>
      <c r="AI376" s="515"/>
      <c r="AK376" s="441"/>
      <c r="AL376" s="2495"/>
      <c r="AM376" s="1044"/>
      <c r="AN376" s="441"/>
      <c r="AO376" s="441"/>
      <c r="AP376" s="1044"/>
      <c r="AQ376" s="1044"/>
      <c r="BE376" s="439"/>
    </row>
    <row r="377" spans="2:57" s="440" customFormat="1" ht="15" customHeight="1" x14ac:dyDescent="0.3">
      <c r="B377" s="771" t="str">
        <f>'III.Risk Assessment'!B59</f>
        <v>(vi)</v>
      </c>
      <c r="C377" s="790" t="str">
        <f>'III.Risk Assessment'!D59</f>
        <v>Will there be independent reviews of designs, monitoring of construction progress and oversight during testing and commissioning phases?</v>
      </c>
      <c r="D377" s="790">
        <f t="shared" si="183"/>
        <v>1</v>
      </c>
      <c r="E377" s="808">
        <f t="shared" si="184"/>
        <v>0.16666666666666666</v>
      </c>
      <c r="F377" s="874" t="str">
        <f>IF(C377=0,NA,'III.Risk Assessment'!AB59)</f>
        <v>Yes</v>
      </c>
      <c r="G377" s="783" t="str">
        <f t="shared" si="185"/>
        <v>Yes</v>
      </c>
      <c r="H377" s="783">
        <f t="shared" si="186"/>
        <v>1</v>
      </c>
      <c r="I377" s="793">
        <f t="shared" si="187"/>
        <v>0</v>
      </c>
      <c r="J377" s="793">
        <f t="shared" si="188"/>
        <v>0</v>
      </c>
      <c r="K377" s="794">
        <f t="shared" si="189"/>
        <v>0.16666666666666666</v>
      </c>
      <c r="L377" s="800">
        <f t="shared" si="190"/>
        <v>0.16666666666666666</v>
      </c>
      <c r="M377" s="780"/>
      <c r="N377" s="780"/>
      <c r="O377" s="780"/>
      <c r="P377" s="780"/>
      <c r="Q377" s="1767">
        <f t="shared" si="195"/>
        <v>0</v>
      </c>
      <c r="R377" s="819">
        <f t="shared" si="191"/>
        <v>0</v>
      </c>
      <c r="S377" s="819">
        <f t="shared" si="192"/>
        <v>0.16666666666666666</v>
      </c>
      <c r="T377" s="860">
        <f t="shared" si="193"/>
        <v>0.16666666666666669</v>
      </c>
      <c r="U377" s="819">
        <f t="shared" si="194"/>
        <v>0.16666666666666666</v>
      </c>
      <c r="X377" s="520" t="s">
        <v>425</v>
      </c>
      <c r="Y377" s="439"/>
      <c r="Z377" s="1051">
        <f>Z376*Z375</f>
        <v>2.5</v>
      </c>
      <c r="AB377" s="515"/>
      <c r="AC377" s="515"/>
      <c r="AD377" s="2491" t="s">
        <v>398</v>
      </c>
      <c r="AE377" s="461">
        <v>0</v>
      </c>
      <c r="AF377" s="461">
        <v>50</v>
      </c>
      <c r="AG377" s="461" t="s">
        <v>391</v>
      </c>
      <c r="AH377" s="1011"/>
      <c r="AI377" s="1011"/>
      <c r="AJ377" s="100"/>
      <c r="AK377" s="441"/>
      <c r="AL377" s="2495"/>
      <c r="AM377" s="441"/>
      <c r="AN377" s="441"/>
      <c r="AO377" s="441"/>
      <c r="AP377" s="1009"/>
      <c r="AQ377" s="1009"/>
      <c r="BE377" s="439"/>
    </row>
    <row r="378" spans="2:57" s="440" customFormat="1" ht="15" customHeight="1" x14ac:dyDescent="0.3">
      <c r="B378" s="771"/>
      <c r="C378" s="771"/>
      <c r="D378" s="771"/>
      <c r="E378" s="780"/>
      <c r="F378" s="777"/>
      <c r="G378" s="777"/>
      <c r="H378" s="780"/>
      <c r="I378" s="780"/>
      <c r="J378" s="780"/>
      <c r="K378" s="780"/>
      <c r="L378" s="780"/>
      <c r="M378" s="780"/>
      <c r="N378" s="780"/>
      <c r="O378" s="780"/>
      <c r="P378" s="780"/>
      <c r="Q378" s="1766">
        <f>IF(ISERROR(SUM(Q372:Q377)/(H371-I371)),0,SUM(Q372:Q377)/(H371-I371))</f>
        <v>0</v>
      </c>
      <c r="R378" s="773">
        <f>SUM(R372:R377)</f>
        <v>0</v>
      </c>
      <c r="S378" s="773">
        <f t="shared" ref="S378:U378" si="196">SUM(S372:S377)</f>
        <v>0.99999999999999989</v>
      </c>
      <c r="T378" s="773">
        <f t="shared" si="196"/>
        <v>1.0000000000000002</v>
      </c>
      <c r="U378" s="773">
        <f t="shared" si="196"/>
        <v>0.99999999999999989</v>
      </c>
      <c r="X378" s="520" t="s">
        <v>433</v>
      </c>
      <c r="Y378" s="439"/>
      <c r="Z378" s="1052">
        <f>1-Z376</f>
        <v>0.5</v>
      </c>
      <c r="AB378" s="515"/>
      <c r="AC378" s="515"/>
      <c r="AD378" s="2491"/>
      <c r="AE378" s="1020">
        <v>51</v>
      </c>
      <c r="AF378" s="461">
        <v>250</v>
      </c>
      <c r="AG378" s="461" t="s">
        <v>395</v>
      </c>
      <c r="AH378" s="1011"/>
      <c r="AI378" s="1011"/>
      <c r="AJ378" s="47"/>
      <c r="AK378" s="441"/>
      <c r="AL378" s="2495"/>
      <c r="AM378" s="441"/>
      <c r="AN378" s="441"/>
      <c r="AO378" s="441"/>
      <c r="AP378" s="441"/>
      <c r="AQ378" s="13"/>
      <c r="BE378" s="439"/>
    </row>
    <row r="379" spans="2:57" s="440" customFormat="1" ht="15" customHeight="1" x14ac:dyDescent="0.3">
      <c r="B379" s="863">
        <f>'III.Risk Assessment'!B61</f>
        <v>4</v>
      </c>
      <c r="C379" s="863" t="str">
        <f>'III.Risk Assessment'!D61</f>
        <v>Operations and Maintenance Risk</v>
      </c>
      <c r="D379" s="863">
        <f>SUM(D380:D382)</f>
        <v>3</v>
      </c>
      <c r="E379" s="900">
        <f>Admin!I20</f>
        <v>0.125</v>
      </c>
      <c r="F379" s="864"/>
      <c r="G379" s="864"/>
      <c r="H379" s="1771">
        <f>COUNTA(H380:H382)</f>
        <v>3</v>
      </c>
      <c r="I379" s="1771">
        <f>SUM(I380:I382)</f>
        <v>0</v>
      </c>
      <c r="J379" s="1056">
        <f>COUNTIF(J380:J382,1)/COUNT(J380:J382)</f>
        <v>0</v>
      </c>
      <c r="K379" s="864"/>
      <c r="L379" s="865"/>
      <c r="M379" s="1360">
        <f>MIN(Q379,IF(J379&gt;O303,MIN(O302,IF(COUNTIF(F380:F382,"No")&gt;=2,MIN($O$379,SUM(L380:L382)*$S$197),IF(COUNTIF(H380:H382,0.5)&gt;=2,MIN($O$380,SUM(L380:L382)*$S$197),SUM(L380:L382)*$S$197))),IF(COUNTIF(F380:F382,"No")&gt;=2,MIN($O$379,SUM(L380:L382)*$S$197),IF(COUNTIF(H380:H382,0.5)&gt;=2,MIN($O$380,SUM(L380:L382)*$S$197),SUM(L380:L382)*$S$197))))</f>
        <v>5</v>
      </c>
      <c r="N379" s="865">
        <f>E379*M379</f>
        <v>0.625</v>
      </c>
      <c r="O379" s="529">
        <v>2</v>
      </c>
      <c r="P379" s="529"/>
      <c r="Q379" s="1772">
        <f>VLOOKUP(Q383,$D$147:$F$150,3)</f>
        <v>5</v>
      </c>
      <c r="R379" s="865"/>
      <c r="S379" s="529"/>
      <c r="T379" s="865"/>
      <c r="U379" s="529"/>
      <c r="AB379" s="515"/>
      <c r="AC379" s="515"/>
      <c r="AD379" s="2491"/>
      <c r="AE379" s="461">
        <v>251</v>
      </c>
      <c r="AF379" s="461">
        <v>500</v>
      </c>
      <c r="AG379" s="461" t="s">
        <v>390</v>
      </c>
      <c r="AH379" s="1012"/>
      <c r="AI379" s="1012"/>
      <c r="AJ379" s="1009"/>
      <c r="AK379" s="441"/>
      <c r="AL379" s="2495"/>
      <c r="AM379" s="441"/>
      <c r="AN379" s="441"/>
      <c r="AO379" s="441"/>
      <c r="AP379" s="441"/>
      <c r="AQ379" s="13"/>
      <c r="BE379" s="439"/>
    </row>
    <row r="380" spans="2:57" s="440" customFormat="1" ht="15" customHeight="1" x14ac:dyDescent="0.3">
      <c r="B380" s="771" t="str">
        <f>'III.Risk Assessment'!B62</f>
        <v>(i)</v>
      </c>
      <c r="C380" s="790" t="str">
        <f>'III.Risk Assessment'!D62</f>
        <v xml:space="preserve">Does the project scope clearly include a well-defined, measurable, and verifiable O&amp;M component? </v>
      </c>
      <c r="D380" s="790">
        <f t="shared" ref="D380:D382" si="197">IF(C380=0,0,1)</f>
        <v>1</v>
      </c>
      <c r="E380" s="808">
        <f>D82</f>
        <v>0.33333333333333331</v>
      </c>
      <c r="F380" s="874" t="str">
        <f>IF(C380=0,NA,'III.Risk Assessment'!AB62)</f>
        <v>Yes</v>
      </c>
      <c r="G380" s="783" t="str">
        <f t="shared" ref="G380:G382" si="198">VLOOKUP(F380,$B$179:$F$184,4,FALSE)</f>
        <v>Yes</v>
      </c>
      <c r="H380" s="783">
        <f t="shared" ref="H380:H382" si="199">VLOOKUP(G380,$B$179:$C$184,2,FALSE)</f>
        <v>1</v>
      </c>
      <c r="I380" s="793">
        <f t="shared" ref="I380:I382" si="200">IF(G380="N/A",1,0)</f>
        <v>0</v>
      </c>
      <c r="J380" s="793">
        <f t="shared" ref="J380:J382" si="201">IF(G380="Skip",1,0)</f>
        <v>0</v>
      </c>
      <c r="K380" s="794">
        <f>U380</f>
        <v>0.33333333333333331</v>
      </c>
      <c r="L380" s="800">
        <f t="shared" ref="L380:L382" si="202">K380*H380</f>
        <v>0.33333333333333331</v>
      </c>
      <c r="M380" s="780"/>
      <c r="N380" s="780"/>
      <c r="O380" s="780">
        <v>2.5</v>
      </c>
      <c r="P380" s="780"/>
      <c r="Q380" s="1767">
        <f>IF(OR(G380="Yes",G380="N/A"),0,1)</f>
        <v>0</v>
      </c>
      <c r="R380" s="819">
        <f>IF(I380=1,E380,0)</f>
        <v>0</v>
      </c>
      <c r="S380" s="819">
        <f>IF(I380=1,0,E380)</f>
        <v>0.33333333333333331</v>
      </c>
      <c r="T380" s="860">
        <f>IFERROR(S380/$S$378,0)</f>
        <v>0.33333333333333337</v>
      </c>
      <c r="U380" s="819">
        <f>S380+(T380*$R$383)</f>
        <v>0.33333333333333331</v>
      </c>
      <c r="AB380" s="515"/>
      <c r="AC380" s="515"/>
      <c r="AD380" s="2491"/>
      <c r="AE380" s="461">
        <v>501</v>
      </c>
      <c r="AF380" s="461">
        <v>1000</v>
      </c>
      <c r="AG380" s="461" t="s">
        <v>396</v>
      </c>
      <c r="AH380" s="515"/>
      <c r="AI380" s="1013"/>
      <c r="AJ380" s="47"/>
      <c r="AK380" s="441"/>
      <c r="AL380" s="1045"/>
      <c r="AM380" s="525"/>
      <c r="AN380" s="1046"/>
      <c r="AO380" s="525"/>
      <c r="AP380" s="524"/>
      <c r="AQ380" s="441"/>
      <c r="BE380" s="439"/>
    </row>
    <row r="381" spans="2:57" s="440" customFormat="1" ht="15" customHeight="1" x14ac:dyDescent="0.3">
      <c r="B381" s="771" t="str">
        <f>'III.Risk Assessment'!B63</f>
        <v>(ii)</v>
      </c>
      <c r="C381" s="790" t="str">
        <f>'III.Risk Assessment'!D63</f>
        <v>Will there be a strong system of safeguards, incentives and liabilities to manage contractor/sub-contractor/ equipment  supplier performance during O&amp;M?</v>
      </c>
      <c r="D381" s="790">
        <f t="shared" si="197"/>
        <v>1</v>
      </c>
      <c r="E381" s="808">
        <f>D83</f>
        <v>0.33333333333333331</v>
      </c>
      <c r="F381" s="874" t="str">
        <f>IF(C381=0,NA,'III.Risk Assessment'!AB63)</f>
        <v>Yes</v>
      </c>
      <c r="G381" s="783" t="str">
        <f t="shared" si="198"/>
        <v>Yes</v>
      </c>
      <c r="H381" s="783">
        <f t="shared" si="199"/>
        <v>1</v>
      </c>
      <c r="I381" s="793">
        <f t="shared" si="200"/>
        <v>0</v>
      </c>
      <c r="J381" s="793">
        <f t="shared" si="201"/>
        <v>0</v>
      </c>
      <c r="K381" s="794">
        <f>U381</f>
        <v>0.33333333333333331</v>
      </c>
      <c r="L381" s="800">
        <f t="shared" si="202"/>
        <v>0.33333333333333331</v>
      </c>
      <c r="M381" s="780"/>
      <c r="N381" s="780"/>
      <c r="O381" s="780"/>
      <c r="P381" s="780"/>
      <c r="Q381" s="1767">
        <f t="shared" ref="Q381:Q382" si="203">IF(OR(G381="Yes",G381="N/A"),0,1)</f>
        <v>0</v>
      </c>
      <c r="R381" s="819">
        <f>IF(I381=1,E381,0)</f>
        <v>0</v>
      </c>
      <c r="S381" s="819">
        <f>IF(I381=1,0,E381)</f>
        <v>0.33333333333333331</v>
      </c>
      <c r="T381" s="860">
        <f>IFERROR(S381/$S$378,0)</f>
        <v>0.33333333333333337</v>
      </c>
      <c r="U381" s="819">
        <f>S381+(T381*$R$383)</f>
        <v>0.33333333333333331</v>
      </c>
      <c r="AB381" s="515"/>
      <c r="AC381" s="515"/>
      <c r="AD381" s="2491"/>
      <c r="AE381" s="461">
        <v>1000</v>
      </c>
      <c r="AF381" s="461">
        <v>1000000</v>
      </c>
      <c r="AG381" s="461" t="s">
        <v>389</v>
      </c>
      <c r="AH381" s="515"/>
      <c r="AI381" s="1013"/>
      <c r="AJ381" s="47"/>
      <c r="AK381" s="441"/>
      <c r="AL381" s="1045"/>
      <c r="AM381" s="525"/>
      <c r="AN381" s="524"/>
      <c r="AO381" s="525"/>
      <c r="AP381" s="524"/>
      <c r="AQ381" s="441"/>
      <c r="BE381" s="439"/>
    </row>
    <row r="382" spans="2:57" s="440" customFormat="1" ht="15" customHeight="1" x14ac:dyDescent="0.3">
      <c r="B382" s="771" t="str">
        <f>'III.Risk Assessment'!B64</f>
        <v>(iii)</v>
      </c>
      <c r="C382" s="790" t="str">
        <f>'III.Risk Assessment'!D64</f>
        <v>Will the project be able to source the required skills locally or from overseas, in relation to the project's construction and O&amp;M (as applicable)?</v>
      </c>
      <c r="D382" s="790">
        <f t="shared" si="197"/>
        <v>1</v>
      </c>
      <c r="E382" s="808">
        <f>D84</f>
        <v>0.33333333333333331</v>
      </c>
      <c r="F382" s="874" t="str">
        <f>IF(C382=0,NA,'III.Risk Assessment'!AB64)</f>
        <v>Yes</v>
      </c>
      <c r="G382" s="783" t="str">
        <f t="shared" si="198"/>
        <v>Yes</v>
      </c>
      <c r="H382" s="783">
        <f t="shared" si="199"/>
        <v>1</v>
      </c>
      <c r="I382" s="793">
        <f t="shared" si="200"/>
        <v>0</v>
      </c>
      <c r="J382" s="793">
        <f t="shared" si="201"/>
        <v>0</v>
      </c>
      <c r="K382" s="794">
        <f>U382</f>
        <v>0.33333333333333331</v>
      </c>
      <c r="L382" s="800">
        <f t="shared" si="202"/>
        <v>0.33333333333333331</v>
      </c>
      <c r="M382" s="780"/>
      <c r="N382" s="780"/>
      <c r="O382" s="780"/>
      <c r="P382" s="780"/>
      <c r="Q382" s="1767">
        <f t="shared" si="203"/>
        <v>0</v>
      </c>
      <c r="R382" s="819">
        <f>IF(I382=1,E382,0)</f>
        <v>0</v>
      </c>
      <c r="S382" s="819">
        <f>IF(I382=1,0,E382)</f>
        <v>0.33333333333333331</v>
      </c>
      <c r="T382" s="860">
        <f>IFERROR(S382/$S$378,0)</f>
        <v>0.33333333333333337</v>
      </c>
      <c r="U382" s="819">
        <f>S382+(T382*$R$383)</f>
        <v>0.33333333333333331</v>
      </c>
      <c r="AB382" s="515"/>
      <c r="AC382" s="515"/>
      <c r="AD382" s="1008"/>
      <c r="AE382" s="757" t="s">
        <v>394</v>
      </c>
      <c r="AF382" s="743">
        <f>IF('0.Basic Project Data'!H34="",0,'0.Basic Project Data'!H34)</f>
        <v>0</v>
      </c>
      <c r="AG382" s="757" t="s">
        <v>29</v>
      </c>
      <c r="AH382" s="743" t="str">
        <f>VLOOKUP(AF382,AE372:AG376,3,TRUE)</f>
        <v>Low</v>
      </c>
      <c r="AI382" s="515" t="str">
        <f>IF(OR('0.Basic Project Data'!H34="",ISERROR('0.Basic Project Data'!H34)),"Uncertain","")</f>
        <v/>
      </c>
      <c r="AK382" s="2496"/>
      <c r="AL382" s="2496"/>
      <c r="AM382" s="2490"/>
      <c r="AN382" s="2490"/>
      <c r="AO382" s="441"/>
      <c r="AP382" s="441"/>
      <c r="AQ382" s="441"/>
      <c r="BE382" s="439"/>
    </row>
    <row r="383" spans="2:57" s="440" customFormat="1" ht="15" customHeight="1" x14ac:dyDescent="0.3">
      <c r="B383" s="771"/>
      <c r="C383" s="771"/>
      <c r="D383" s="771"/>
      <c r="E383" s="831"/>
      <c r="F383" s="777"/>
      <c r="G383" s="777"/>
      <c r="H383" s="780"/>
      <c r="I383" s="877"/>
      <c r="J383" s="876"/>
      <c r="K383" s="780"/>
      <c r="L383" s="831"/>
      <c r="M383" s="780"/>
      <c r="N383" s="831"/>
      <c r="O383" s="831"/>
      <c r="P383" s="831"/>
      <c r="Q383" s="1766">
        <f>IF(ISERROR(SUM(Q380:Q382)/(H379-I379)),0,SUM(Q380:Q382)/(H379-I379))</f>
        <v>0</v>
      </c>
      <c r="R383" s="901">
        <f>SUM(R380:R382)</f>
        <v>0</v>
      </c>
      <c r="S383" s="901">
        <f t="shared" ref="S383:U383" si="204">SUM(S380:S382)</f>
        <v>1</v>
      </c>
      <c r="T383" s="901">
        <f t="shared" si="204"/>
        <v>1</v>
      </c>
      <c r="U383" s="901">
        <f t="shared" si="204"/>
        <v>1</v>
      </c>
      <c r="AB383" s="515"/>
      <c r="AC383" s="515"/>
      <c r="AD383" s="1008"/>
      <c r="AE383" s="757" t="s">
        <v>393</v>
      </c>
      <c r="AF383" s="743">
        <f>IF('0.Basic Project Data'!$H$31="No",0,'0.Basic Project Data'!$H$35)</f>
        <v>0</v>
      </c>
      <c r="AG383" s="757" t="s">
        <v>29</v>
      </c>
      <c r="AH383" s="743" t="str">
        <f>VLOOKUP(AF383,AE377:AG381,3,TRUE)</f>
        <v>Low</v>
      </c>
      <c r="AI383" s="515" t="str">
        <f>IF(OR(AF383=0,ISERROR(AF383)),"Uncertain","")</f>
        <v>Uncertain</v>
      </c>
      <c r="AK383" s="441"/>
      <c r="AL383" s="441"/>
      <c r="AM383" s="1047"/>
      <c r="AN383" s="1047"/>
      <c r="AO383" s="1048"/>
      <c r="AP383" s="1048"/>
      <c r="AQ383" s="1048"/>
      <c r="BE383" s="439"/>
    </row>
    <row r="384" spans="2:57" s="440" customFormat="1" ht="15" customHeight="1" x14ac:dyDescent="0.3">
      <c r="B384" s="863">
        <f>'III.Risk Assessment'!B66</f>
        <v>5</v>
      </c>
      <c r="C384" s="863" t="str">
        <f>'III.Risk Assessment'!D66</f>
        <v>Market Risk and Demand Risk</v>
      </c>
      <c r="D384" s="863">
        <f>SUM(D385:D390)</f>
        <v>6</v>
      </c>
      <c r="E384" s="900">
        <f>Admin!I21</f>
        <v>0.125</v>
      </c>
      <c r="F384" s="864"/>
      <c r="G384" s="864"/>
      <c r="H384" s="1771">
        <f>COUNTA(H385:H390)</f>
        <v>6</v>
      </c>
      <c r="I384" s="1771">
        <f>SUM(I385:I390)</f>
        <v>0</v>
      </c>
      <c r="J384" s="1056">
        <f>COUNTIF(J385:J390,1)/COUNT(J385:J390)</f>
        <v>0</v>
      </c>
      <c r="K384" s="864"/>
      <c r="L384" s="865"/>
      <c r="M384" s="1360">
        <f>MIN(Q384,IF(J384&gt;O303,MIN(O302,IF(OR(AND(F385="No",F387="No"),AND(F385="No",F388="No"),AND(F387="No",F388="No")),MIN($O$384,SUM(L385:L390)*$S$197),SUM(L385:L390)*$S$197)),IF(OR(AND(F385="No",F387="No"),AND(F385="No",F388="No"),AND(F387="No",F388="No")),MIN($O$384,SUM(L385:L390)*$S$197),SUM(L385:L390)*$S$197)))</f>
        <v>4.9999999999999991</v>
      </c>
      <c r="N384" s="865">
        <f>E384*M384</f>
        <v>0.62499999999999989</v>
      </c>
      <c r="O384" s="529">
        <v>2</v>
      </c>
      <c r="P384" s="529"/>
      <c r="Q384" s="1772">
        <f>VLOOKUP(Q391,$D$147:$F$150,3)</f>
        <v>5</v>
      </c>
      <c r="R384" s="865"/>
      <c r="S384" s="529"/>
      <c r="T384" s="865"/>
      <c r="U384" s="529"/>
      <c r="AB384" s="1824" t="s">
        <v>688</v>
      </c>
      <c r="AC384" s="2493" t="s">
        <v>392</v>
      </c>
      <c r="AD384" s="2493"/>
      <c r="AE384" s="515"/>
      <c r="AF384" s="515"/>
      <c r="AG384" s="515"/>
      <c r="AH384" s="515"/>
      <c r="AI384" s="515"/>
      <c r="AK384" s="441"/>
      <c r="AL384" s="441"/>
      <c r="AM384" s="1047"/>
      <c r="AN384" s="1047"/>
      <c r="AO384" s="1047"/>
      <c r="AP384" s="1048"/>
      <c r="AQ384" s="1048"/>
      <c r="BE384" s="439"/>
    </row>
    <row r="385" spans="2:57" s="440" customFormat="1" ht="15" customHeight="1" x14ac:dyDescent="0.3">
      <c r="B385" s="771" t="str">
        <f>'III.Risk Assessment'!B67</f>
        <v>(i)</v>
      </c>
      <c r="C385" s="790" t="str">
        <f>'III.Risk Assessment'!D67</f>
        <v xml:space="preserve">Will the PPP have a ready baseline of demand or offtake that has been well established through historical data, firm off-take commitments, or exclusivity of service area? </v>
      </c>
      <c r="D385" s="790">
        <f t="shared" ref="D385:D390" si="205">IF(C385=0,0,1)</f>
        <v>1</v>
      </c>
      <c r="E385" s="808">
        <f t="shared" ref="E385:E390" si="206">D85</f>
        <v>0.16666666666666666</v>
      </c>
      <c r="F385" s="874" t="str">
        <f>IF(C385=0,NA,'III.Risk Assessment'!AB67)</f>
        <v>Yes</v>
      </c>
      <c r="G385" s="783" t="str">
        <f t="shared" ref="G385:G390" si="207">VLOOKUP(F385,$B$179:$F$184,4,FALSE)</f>
        <v>Yes</v>
      </c>
      <c r="H385" s="783">
        <f t="shared" ref="H385:H390" si="208">VLOOKUP(G385,$B$179:$C$184,2,FALSE)</f>
        <v>1</v>
      </c>
      <c r="I385" s="793">
        <f t="shared" ref="I385:I390" si="209">IF(G385="N/A",1,0)</f>
        <v>0</v>
      </c>
      <c r="J385" s="793">
        <f t="shared" ref="J385:J390" si="210">IF(G385="Skip",1,0)</f>
        <v>0</v>
      </c>
      <c r="K385" s="794">
        <f t="shared" ref="K385:K390" si="211">U385</f>
        <v>0.16666666666666666</v>
      </c>
      <c r="L385" s="800">
        <f t="shared" ref="L385:L390" si="212">K385*H385</f>
        <v>0.16666666666666666</v>
      </c>
      <c r="M385" s="780"/>
      <c r="N385" s="780"/>
      <c r="O385" s="780">
        <v>2.5</v>
      </c>
      <c r="P385" s="780"/>
      <c r="Q385" s="1767">
        <f>IF(OR(G385="Yes",G385="N/A"),0,1)</f>
        <v>0</v>
      </c>
      <c r="R385" s="819">
        <f t="shared" ref="R385:R390" si="213">IF(I385=1,E385,0)</f>
        <v>0</v>
      </c>
      <c r="S385" s="819">
        <f t="shared" ref="S385:S390" si="214">IF(I385=1,0,E385)</f>
        <v>0.16666666666666666</v>
      </c>
      <c r="T385" s="860">
        <f t="shared" ref="T385:T391" si="215">IFERROR(S385/$S$391,0)</f>
        <v>0.16666666666666669</v>
      </c>
      <c r="U385" s="819">
        <f t="shared" ref="U385:U390" si="216">S385+(T385*$R$391)</f>
        <v>0.16666666666666666</v>
      </c>
      <c r="AB385" s="1824">
        <f>AI393</f>
        <v>1</v>
      </c>
      <c r="AC385" s="515">
        <f>IF(AD385=$AH$383,1,0)</f>
        <v>0</v>
      </c>
      <c r="AD385" s="515" t="str">
        <f>AG376</f>
        <v>High</v>
      </c>
      <c r="AE385" s="955">
        <v>3</v>
      </c>
      <c r="AF385" s="956">
        <v>2.5</v>
      </c>
      <c r="AG385" s="957">
        <v>2</v>
      </c>
      <c r="AH385" s="958">
        <v>1.5</v>
      </c>
      <c r="AI385" s="959">
        <v>1</v>
      </c>
      <c r="AK385" s="441"/>
      <c r="AL385" s="441"/>
      <c r="AM385" s="1047"/>
      <c r="AN385" s="1047"/>
      <c r="AO385" s="1047"/>
      <c r="AP385" s="1047"/>
      <c r="AQ385" s="1048"/>
      <c r="BE385" s="439"/>
    </row>
    <row r="386" spans="2:57" s="440" customFormat="1" ht="15" customHeight="1" x14ac:dyDescent="0.3">
      <c r="B386" s="771" t="str">
        <f>'III.Risk Assessment'!B68</f>
        <v>(ii)</v>
      </c>
      <c r="C386" s="790" t="str">
        <f>'III.Risk Assessment'!D68</f>
        <v>Are there precedents of similar projects in the country or region, where the actual usage or offtake from the project facility in the initial years has been atleast 85% of the originally projected usage or off-take?</v>
      </c>
      <c r="D386" s="790">
        <f t="shared" si="205"/>
        <v>1</v>
      </c>
      <c r="E386" s="808">
        <f t="shared" si="206"/>
        <v>0.16666666666666666</v>
      </c>
      <c r="F386" s="874" t="str">
        <f>IF(C386=0,NA,'III.Risk Assessment'!AB68)</f>
        <v>Yes</v>
      </c>
      <c r="G386" s="783" t="str">
        <f t="shared" si="207"/>
        <v>Yes</v>
      </c>
      <c r="H386" s="783">
        <f t="shared" si="208"/>
        <v>1</v>
      </c>
      <c r="I386" s="793">
        <f t="shared" si="209"/>
        <v>0</v>
      </c>
      <c r="J386" s="793">
        <f t="shared" si="210"/>
        <v>0</v>
      </c>
      <c r="K386" s="794">
        <f t="shared" si="211"/>
        <v>0.16666666666666666</v>
      </c>
      <c r="L386" s="800">
        <f t="shared" si="212"/>
        <v>0.16666666666666666</v>
      </c>
      <c r="M386" s="780"/>
      <c r="N386" s="780"/>
      <c r="O386" s="780"/>
      <c r="P386" s="780"/>
      <c r="Q386" s="1767">
        <f t="shared" ref="Q386:Q390" si="217">IF(OR(G386="Yes",G386="N/A"),0,1)</f>
        <v>0</v>
      </c>
      <c r="R386" s="819">
        <f t="shared" si="213"/>
        <v>0</v>
      </c>
      <c r="S386" s="819">
        <f t="shared" si="214"/>
        <v>0.16666666666666666</v>
      </c>
      <c r="T386" s="860">
        <f t="shared" si="215"/>
        <v>0.16666666666666669</v>
      </c>
      <c r="U386" s="819">
        <f t="shared" si="216"/>
        <v>0.16666666666666666</v>
      </c>
      <c r="AB386" s="1824">
        <f>AH393</f>
        <v>2</v>
      </c>
      <c r="AC386" s="515">
        <f>IF(AD386=$AH$383,1,0)</f>
        <v>0</v>
      </c>
      <c r="AD386" s="515" t="str">
        <f>AG375</f>
        <v>Moderate- High</v>
      </c>
      <c r="AE386" s="960">
        <v>3.5</v>
      </c>
      <c r="AF386" s="955">
        <v>3</v>
      </c>
      <c r="AG386" s="956">
        <v>2.5</v>
      </c>
      <c r="AH386" s="957">
        <v>2</v>
      </c>
      <c r="AI386" s="958">
        <v>1.5</v>
      </c>
      <c r="AK386" s="441"/>
      <c r="AL386" s="441"/>
      <c r="AM386" s="1047"/>
      <c r="AN386" s="1047"/>
      <c r="AO386" s="1047"/>
      <c r="AP386" s="1047"/>
      <c r="AQ386" s="1047"/>
      <c r="BE386" s="439"/>
    </row>
    <row r="387" spans="2:57" s="440" customFormat="1" ht="15" customHeight="1" x14ac:dyDescent="0.3">
      <c r="B387" s="771" t="str">
        <f>'III.Risk Assessment'!B69</f>
        <v>(iii)</v>
      </c>
      <c r="C387" s="790" t="str">
        <f>'III.Risk Assessment'!D69</f>
        <v>Are there competing projects in the defined market that could impact the ramping up of demand for this PPP project?</v>
      </c>
      <c r="D387" s="790">
        <f t="shared" si="205"/>
        <v>1</v>
      </c>
      <c r="E387" s="808">
        <f t="shared" si="206"/>
        <v>0.16666666666666666</v>
      </c>
      <c r="F387" s="874" t="str">
        <f>IF(C387=0,NA,'III.Risk Assessment'!AB69)</f>
        <v>No</v>
      </c>
      <c r="G387" s="783" t="str">
        <f>VLOOKUP(F387,$B$179:$F$184,5,FALSE)</f>
        <v>Yes</v>
      </c>
      <c r="H387" s="783">
        <f t="shared" si="208"/>
        <v>1</v>
      </c>
      <c r="I387" s="793">
        <f t="shared" si="209"/>
        <v>0</v>
      </c>
      <c r="J387" s="793">
        <f t="shared" si="210"/>
        <v>0</v>
      </c>
      <c r="K387" s="794">
        <f t="shared" si="211"/>
        <v>0.16666666666666666</v>
      </c>
      <c r="L387" s="800">
        <f t="shared" si="212"/>
        <v>0.16666666666666666</v>
      </c>
      <c r="M387" s="780"/>
      <c r="N387" s="780"/>
      <c r="O387" s="780"/>
      <c r="P387" s="780"/>
      <c r="Q387" s="1767">
        <f t="shared" si="217"/>
        <v>0</v>
      </c>
      <c r="R387" s="819">
        <f t="shared" si="213"/>
        <v>0</v>
      </c>
      <c r="S387" s="819">
        <f t="shared" si="214"/>
        <v>0.16666666666666666</v>
      </c>
      <c r="T387" s="860">
        <f t="shared" si="215"/>
        <v>0.16666666666666669</v>
      </c>
      <c r="U387" s="819">
        <f t="shared" si="216"/>
        <v>0.16666666666666666</v>
      </c>
      <c r="AB387" s="1824">
        <f>AG393</f>
        <v>3</v>
      </c>
      <c r="AC387" s="515">
        <f>IF(AD387=$AH$383,1,0)</f>
        <v>0</v>
      </c>
      <c r="AD387" s="515" t="str">
        <f>AG374</f>
        <v>Moderate</v>
      </c>
      <c r="AE387" s="961">
        <v>4</v>
      </c>
      <c r="AF387" s="960">
        <v>3.5</v>
      </c>
      <c r="AG387" s="955">
        <v>3</v>
      </c>
      <c r="AH387" s="956">
        <v>2.5</v>
      </c>
      <c r="AI387" s="957">
        <v>2</v>
      </c>
      <c r="AK387" s="441"/>
      <c r="AL387" s="441"/>
      <c r="AM387" s="1048"/>
      <c r="AN387" s="1047"/>
      <c r="AO387" s="1047"/>
      <c r="AP387" s="1047"/>
      <c r="AQ387" s="1047"/>
      <c r="BE387" s="439"/>
    </row>
    <row r="388" spans="2:57" s="440" customFormat="1" ht="15" customHeight="1" x14ac:dyDescent="0.3">
      <c r="B388" s="771" t="str">
        <f>'III.Risk Assessment'!B70</f>
        <v>(iv)</v>
      </c>
      <c r="C388" s="790" t="str">
        <f>'III.Risk Assessment'!D70</f>
        <v>Is there an indication that user charges will be affordable to users? Such as through an assessment of the ability and willingness to pay of the users or benchmarking with similar projects.</v>
      </c>
      <c r="D388" s="790">
        <f t="shared" si="205"/>
        <v>1</v>
      </c>
      <c r="E388" s="808">
        <f t="shared" si="206"/>
        <v>0.16666666666666666</v>
      </c>
      <c r="F388" s="874" t="str">
        <f>IF(C388=0,NA,'III.Risk Assessment'!AB70)</f>
        <v>Yes</v>
      </c>
      <c r="G388" s="783" t="str">
        <f t="shared" si="207"/>
        <v>Yes</v>
      </c>
      <c r="H388" s="783">
        <f t="shared" si="208"/>
        <v>1</v>
      </c>
      <c r="I388" s="793">
        <f t="shared" si="209"/>
        <v>0</v>
      </c>
      <c r="J388" s="793">
        <f t="shared" si="210"/>
        <v>0</v>
      </c>
      <c r="K388" s="794">
        <f t="shared" si="211"/>
        <v>0.16666666666666666</v>
      </c>
      <c r="L388" s="800">
        <f t="shared" si="212"/>
        <v>0.16666666666666666</v>
      </c>
      <c r="M388" s="780"/>
      <c r="N388" s="780"/>
      <c r="O388" s="780"/>
      <c r="P388" s="780"/>
      <c r="Q388" s="1767">
        <f t="shared" si="217"/>
        <v>0</v>
      </c>
      <c r="R388" s="819">
        <f t="shared" si="213"/>
        <v>0</v>
      </c>
      <c r="S388" s="819">
        <f t="shared" si="214"/>
        <v>0.16666666666666666</v>
      </c>
      <c r="T388" s="860">
        <f t="shared" si="215"/>
        <v>0.16666666666666669</v>
      </c>
      <c r="U388" s="819">
        <f t="shared" si="216"/>
        <v>0.16666666666666666</v>
      </c>
      <c r="AB388" s="1824">
        <f>AF393</f>
        <v>4</v>
      </c>
      <c r="AC388" s="515">
        <f>IF(AD388=$AH$383,1,0)</f>
        <v>0</v>
      </c>
      <c r="AD388" s="515" t="str">
        <f>AG373</f>
        <v>Medium-Low</v>
      </c>
      <c r="AE388" s="962">
        <v>4.5</v>
      </c>
      <c r="AF388" s="961">
        <v>4</v>
      </c>
      <c r="AG388" s="960">
        <v>3.5</v>
      </c>
      <c r="AH388" s="955">
        <v>3</v>
      </c>
      <c r="AI388" s="956">
        <v>2.5</v>
      </c>
      <c r="AK388" s="441"/>
      <c r="AL388" s="441"/>
      <c r="AM388" s="441"/>
      <c r="AN388" s="441"/>
      <c r="AO388" s="441"/>
      <c r="AP388" s="441"/>
      <c r="AQ388" s="441"/>
      <c r="BE388" s="439"/>
    </row>
    <row r="389" spans="2:57" s="440" customFormat="1" ht="15" customHeight="1" x14ac:dyDescent="0.3">
      <c r="B389" s="771" t="str">
        <f>'III.Risk Assessment'!B71</f>
        <v>(v)</v>
      </c>
      <c r="C389" s="790" t="str">
        <f>'III.Risk Assessment'!D71</f>
        <v>In case of delays in ramping up of demand, will the private sector have some flexibility in repricing tariffs to manage and off-set demand shortfalls in any given year, or would the government provide some level of cash deficiency support or assurances?</v>
      </c>
      <c r="D389" s="790">
        <f t="shared" si="205"/>
        <v>1</v>
      </c>
      <c r="E389" s="808">
        <f t="shared" si="206"/>
        <v>0.16666666666666666</v>
      </c>
      <c r="F389" s="874" t="str">
        <f>IF(C389=0,NA,'III.Risk Assessment'!AB71)</f>
        <v>Yes</v>
      </c>
      <c r="G389" s="783" t="str">
        <f t="shared" si="207"/>
        <v>Yes</v>
      </c>
      <c r="H389" s="783">
        <f t="shared" si="208"/>
        <v>1</v>
      </c>
      <c r="I389" s="793">
        <f t="shared" si="209"/>
        <v>0</v>
      </c>
      <c r="J389" s="793">
        <f t="shared" si="210"/>
        <v>0</v>
      </c>
      <c r="K389" s="794">
        <f t="shared" si="211"/>
        <v>0.16666666666666666</v>
      </c>
      <c r="L389" s="800">
        <f t="shared" si="212"/>
        <v>0.16666666666666666</v>
      </c>
      <c r="M389" s="780"/>
      <c r="N389" s="780"/>
      <c r="O389" s="780"/>
      <c r="P389" s="780"/>
      <c r="Q389" s="1767">
        <f t="shared" si="217"/>
        <v>0</v>
      </c>
      <c r="R389" s="819">
        <f t="shared" si="213"/>
        <v>0</v>
      </c>
      <c r="S389" s="819">
        <f t="shared" si="214"/>
        <v>0.16666666666666666</v>
      </c>
      <c r="T389" s="860">
        <f t="shared" si="215"/>
        <v>0.16666666666666669</v>
      </c>
      <c r="U389" s="819">
        <f t="shared" si="216"/>
        <v>0.16666666666666666</v>
      </c>
      <c r="AB389" s="1824">
        <f>AE393</f>
        <v>5</v>
      </c>
      <c r="AC389" s="515">
        <f>IF(AD389=$AH$383,1,0)</f>
        <v>1</v>
      </c>
      <c r="AD389" s="515" t="str">
        <f>AG372</f>
        <v>Low</v>
      </c>
      <c r="AE389" s="963">
        <v>5</v>
      </c>
      <c r="AF389" s="962">
        <v>4.5</v>
      </c>
      <c r="AG389" s="961">
        <v>4</v>
      </c>
      <c r="AH389" s="960">
        <v>3.5</v>
      </c>
      <c r="AI389" s="955">
        <v>3</v>
      </c>
      <c r="AK389" s="441"/>
      <c r="AL389" s="441"/>
      <c r="AM389" s="441"/>
      <c r="AN389" s="441"/>
      <c r="AO389" s="441"/>
      <c r="AP389" s="441"/>
      <c r="AQ389" s="441"/>
      <c r="BE389" s="439"/>
    </row>
    <row r="390" spans="2:57" s="440" customFormat="1" ht="15" customHeight="1" x14ac:dyDescent="0.3">
      <c r="B390" s="771" t="str">
        <f>'III.Risk Assessment'!B72</f>
        <v>(vi)</v>
      </c>
      <c r="C390" s="790" t="str">
        <f>'III.Risk Assessment'!D72</f>
        <v xml:space="preserve">Is there a transparent and well-defined process for setting user charges and managing their increase? </v>
      </c>
      <c r="D390" s="790">
        <f t="shared" si="205"/>
        <v>1</v>
      </c>
      <c r="E390" s="808">
        <f t="shared" si="206"/>
        <v>0.16666666666666666</v>
      </c>
      <c r="F390" s="874" t="str">
        <f>IF(C390=0,NA,'III.Risk Assessment'!AB72)</f>
        <v>Yes</v>
      </c>
      <c r="G390" s="783" t="str">
        <f t="shared" si="207"/>
        <v>Yes</v>
      </c>
      <c r="H390" s="783">
        <f t="shared" si="208"/>
        <v>1</v>
      </c>
      <c r="I390" s="793">
        <f t="shared" si="209"/>
        <v>0</v>
      </c>
      <c r="J390" s="793">
        <f t="shared" si="210"/>
        <v>0</v>
      </c>
      <c r="K390" s="794">
        <f t="shared" si="211"/>
        <v>0.16666666666666666</v>
      </c>
      <c r="L390" s="800">
        <f t="shared" si="212"/>
        <v>0.16666666666666666</v>
      </c>
      <c r="M390" s="780"/>
      <c r="N390" s="831"/>
      <c r="O390" s="831"/>
      <c r="P390" s="831"/>
      <c r="Q390" s="1767">
        <f t="shared" si="217"/>
        <v>0</v>
      </c>
      <c r="R390" s="819">
        <f t="shared" si="213"/>
        <v>0</v>
      </c>
      <c r="S390" s="819">
        <f t="shared" si="214"/>
        <v>0.16666666666666666</v>
      </c>
      <c r="T390" s="860">
        <f t="shared" si="215"/>
        <v>0.16666666666666669</v>
      </c>
      <c r="U390" s="819">
        <f t="shared" si="216"/>
        <v>0.16666666666666666</v>
      </c>
      <c r="AB390" s="515"/>
      <c r="AC390" s="515"/>
      <c r="AD390" s="515"/>
      <c r="AE390" s="515" t="str">
        <f>AG377</f>
        <v>Low</v>
      </c>
      <c r="AF390" s="515" t="str">
        <f>AG378</f>
        <v>Medium-Low</v>
      </c>
      <c r="AG390" s="515" t="str">
        <f>AG379</f>
        <v>Moderate</v>
      </c>
      <c r="AH390" s="515" t="str">
        <f>AG380</f>
        <v>Moderate- High</v>
      </c>
      <c r="AI390" s="515" t="str">
        <f>AG381</f>
        <v>High</v>
      </c>
      <c r="AK390" s="441"/>
      <c r="AL390" s="441"/>
      <c r="AM390" s="2489"/>
      <c r="AN390" s="2489"/>
      <c r="AO390" s="2489"/>
      <c r="AP390" s="2489"/>
      <c r="AQ390" s="2489"/>
      <c r="BE390" s="439"/>
    </row>
    <row r="391" spans="2:57" s="440" customFormat="1" ht="15" customHeight="1" x14ac:dyDescent="0.3">
      <c r="B391" s="771"/>
      <c r="C391" s="771"/>
      <c r="D391" s="771"/>
      <c r="E391" s="878"/>
      <c r="F391" s="777"/>
      <c r="G391" s="777"/>
      <c r="H391" s="780"/>
      <c r="I391" s="780"/>
      <c r="J391" s="780"/>
      <c r="K391" s="780"/>
      <c r="L391" s="780"/>
      <c r="M391" s="780"/>
      <c r="N391" s="780"/>
      <c r="O391" s="780"/>
      <c r="P391" s="780"/>
      <c r="Q391" s="1766">
        <f>IF(ISERROR(SUM(Q385:Q390)/(H384-I384)),0,SUM(Q385:Q390)/(H384-I384))</f>
        <v>0</v>
      </c>
      <c r="R391" s="773">
        <f>SUM(R385:R390)</f>
        <v>0</v>
      </c>
      <c r="S391" s="773">
        <f t="shared" ref="S391:U391" si="218">SUM(S385:S390)</f>
        <v>0.99999999999999989</v>
      </c>
      <c r="T391" s="860">
        <f t="shared" si="215"/>
        <v>1</v>
      </c>
      <c r="U391" s="773">
        <f t="shared" si="218"/>
        <v>0.99999999999999989</v>
      </c>
      <c r="AB391" s="515"/>
      <c r="AC391" s="515"/>
      <c r="AD391" s="515"/>
      <c r="AE391" s="515">
        <f>IF($AH$382=AE390,1,0)</f>
        <v>1</v>
      </c>
      <c r="AF391" s="515">
        <f>IF($AH$382=AF390,1,0)</f>
        <v>0</v>
      </c>
      <c r="AG391" s="515">
        <f>IF($AH$382=AG390,1,0)</f>
        <v>0</v>
      </c>
      <c r="AH391" s="515">
        <f>IF($AH$382=AH390,1,0)</f>
        <v>0</v>
      </c>
      <c r="AI391" s="515">
        <f>IF($AH$382=AI390,1,0)</f>
        <v>0</v>
      </c>
      <c r="AK391" s="441"/>
      <c r="AL391" s="441"/>
      <c r="AM391" s="441"/>
      <c r="AN391" s="441"/>
      <c r="AO391" s="941"/>
      <c r="AP391" s="941"/>
      <c r="AQ391" s="441"/>
      <c r="BE391" s="439"/>
    </row>
    <row r="392" spans="2:57" s="440" customFormat="1" ht="15" customHeight="1" x14ac:dyDescent="0.3">
      <c r="B392" s="863">
        <f>'III.Risk Assessment'!B74</f>
        <v>6</v>
      </c>
      <c r="C392" s="863" t="str">
        <f>'III.Risk Assessment'!D74</f>
        <v>Off Taker Risk</v>
      </c>
      <c r="D392" s="863">
        <f>SUM(D393:D396)</f>
        <v>4</v>
      </c>
      <c r="E392" s="900">
        <f>Admin!I22</f>
        <v>0.125</v>
      </c>
      <c r="F392" s="864"/>
      <c r="G392" s="864"/>
      <c r="H392" s="1771">
        <f>COUNTA(H393:H396)</f>
        <v>4</v>
      </c>
      <c r="I392" s="1771">
        <f>SUM(I393:I396)</f>
        <v>0</v>
      </c>
      <c r="J392" s="1056">
        <f>COUNTIF(J393:J396,1)/COUNT(J393:J396)</f>
        <v>0</v>
      </c>
      <c r="K392" s="864"/>
      <c r="L392" s="865"/>
      <c r="M392" s="1360">
        <f>MIN(Q392,IF(J392&gt;O303,MIN(O302,IF(COUNTIF(F393:F396,"no")&gt;=2,MIN($O$392,SUM(L393:L396)*$S$197),IF(COUNTIF(H393:H396,0.5)&gt;=2,MIN($O$393,SUM(L393:L396)*$S$197),SUM(L393:L396)*$S$197))),IF(COUNTIF(F393:F396,"no")&gt;=2,MIN($O$392,SUM(L393:L396)*$S$197),IF(COUNTIF(H393:H396,0.5)&gt;=2,MIN($O$393,SUM(L393:L396)*$S$197),SUM(L393:L396)*$S$197))))</f>
        <v>5</v>
      </c>
      <c r="N392" s="865">
        <f>E392*M392</f>
        <v>0.625</v>
      </c>
      <c r="O392" s="529">
        <v>2</v>
      </c>
      <c r="P392" s="529"/>
      <c r="Q392" s="1772">
        <f>VLOOKUP(Q397,$D$147:$F$150,3)</f>
        <v>5</v>
      </c>
      <c r="R392" s="865"/>
      <c r="S392" s="529"/>
      <c r="T392" s="865"/>
      <c r="U392" s="529"/>
      <c r="AB392" s="515"/>
      <c r="AC392" s="515"/>
      <c r="AD392" s="515"/>
      <c r="AE392" s="2493" t="s">
        <v>394</v>
      </c>
      <c r="AF392" s="2493"/>
      <c r="AG392" s="2493"/>
      <c r="AH392" s="2493"/>
      <c r="AI392" s="2493"/>
      <c r="AK392" s="441"/>
      <c r="AL392" s="441"/>
      <c r="AM392" s="441"/>
      <c r="AN392" s="441"/>
      <c r="AO392" s="941"/>
      <c r="AP392" s="1049"/>
      <c r="AQ392" s="441"/>
      <c r="BE392" s="439"/>
    </row>
    <row r="393" spans="2:57" s="440" customFormat="1" ht="15" customHeight="1" x14ac:dyDescent="0.3">
      <c r="B393" s="771" t="str">
        <f>'III.Risk Assessment'!B75</f>
        <v>(i)</v>
      </c>
      <c r="C393" s="790" t="str">
        <f>'III.Risk Assessment'!D75</f>
        <v>Does the government counter party have high credit worthiness? Such as may be reflected through its financial position or outstanding credit ratings issued by independent credit rating agencies.</v>
      </c>
      <c r="D393" s="790">
        <f t="shared" ref="D393:D396" si="219">IF(C393=0,0,1)</f>
        <v>1</v>
      </c>
      <c r="E393" s="808">
        <f>D91</f>
        <v>0.25</v>
      </c>
      <c r="F393" s="874" t="str">
        <f>IF(C393=0,NA,'III.Risk Assessment'!AB75)</f>
        <v>Yes</v>
      </c>
      <c r="G393" s="783" t="str">
        <f t="shared" ref="G393:G396" si="220">VLOOKUP(F393,$B$179:$F$184,4,FALSE)</f>
        <v>Yes</v>
      </c>
      <c r="H393" s="783">
        <f t="shared" ref="H393:H396" si="221">VLOOKUP(G393,$B$179:$C$184,2,FALSE)</f>
        <v>1</v>
      </c>
      <c r="I393" s="793">
        <f t="shared" ref="I393:I396" si="222">IF(G393="N/A",1,0)</f>
        <v>0</v>
      </c>
      <c r="J393" s="793">
        <f t="shared" ref="J393:J396" si="223">IF(G393="Skip",1,0)</f>
        <v>0</v>
      </c>
      <c r="K393" s="794">
        <f>U393</f>
        <v>0.25</v>
      </c>
      <c r="L393" s="800">
        <f t="shared" ref="L393:L396" si="224">K393*H393</f>
        <v>0.25</v>
      </c>
      <c r="M393" s="780"/>
      <c r="N393" s="780"/>
      <c r="O393" s="780">
        <v>2.5</v>
      </c>
      <c r="P393" s="780"/>
      <c r="Q393" s="1767">
        <f>IF(OR(G393="Yes",G393="N/A"),0,1)</f>
        <v>0</v>
      </c>
      <c r="R393" s="819">
        <f>IF(I393=1,E393,0)</f>
        <v>0</v>
      </c>
      <c r="S393" s="819">
        <f>IF(I393=1,0,E393)</f>
        <v>0.25</v>
      </c>
      <c r="T393" s="860">
        <f>IFERROR(S$393/$S$397,0)</f>
        <v>0.25</v>
      </c>
      <c r="U393" s="819">
        <f>S393+(T393*$R$397)</f>
        <v>0.25</v>
      </c>
      <c r="AB393" s="515"/>
      <c r="AC393" s="515"/>
      <c r="AD393" s="1823" t="s">
        <v>688</v>
      </c>
      <c r="AE393" s="1823">
        <f>AE389</f>
        <v>5</v>
      </c>
      <c r="AF393" s="1823">
        <f>AF388</f>
        <v>4</v>
      </c>
      <c r="AG393" s="1823">
        <f>AG387</f>
        <v>3</v>
      </c>
      <c r="AH393" s="1823">
        <f>AH386</f>
        <v>2</v>
      </c>
      <c r="AI393" s="1823">
        <f>AI385</f>
        <v>1</v>
      </c>
      <c r="AK393" s="441"/>
      <c r="AL393" s="441"/>
      <c r="AM393" s="441"/>
      <c r="AN393" s="441"/>
      <c r="AO393" s="941"/>
      <c r="AP393" s="1050"/>
      <c r="AQ393" s="441"/>
      <c r="BE393" s="439"/>
    </row>
    <row r="394" spans="2:57" s="440" customFormat="1" ht="15" customHeight="1" x14ac:dyDescent="0.3">
      <c r="B394" s="771" t="str">
        <f>'III.Risk Assessment'!B76</f>
        <v>(ii)</v>
      </c>
      <c r="C394" s="790" t="str">
        <f>'III.Risk Assessment'!D76</f>
        <v>Are payments secured through budgetary arrangements and/or backed by dedicated funds or funding sources?</v>
      </c>
      <c r="D394" s="790">
        <f t="shared" si="219"/>
        <v>1</v>
      </c>
      <c r="E394" s="808">
        <f>D92</f>
        <v>0.25</v>
      </c>
      <c r="F394" s="874" t="str">
        <f>IF(C394=0,NA,'III.Risk Assessment'!AB76)</f>
        <v>Yes</v>
      </c>
      <c r="G394" s="783" t="str">
        <f t="shared" si="220"/>
        <v>Yes</v>
      </c>
      <c r="H394" s="783">
        <f t="shared" si="221"/>
        <v>1</v>
      </c>
      <c r="I394" s="793">
        <f t="shared" si="222"/>
        <v>0</v>
      </c>
      <c r="J394" s="793">
        <f t="shared" si="223"/>
        <v>0</v>
      </c>
      <c r="K394" s="794">
        <f>U394</f>
        <v>0.25</v>
      </c>
      <c r="L394" s="800">
        <f t="shared" si="224"/>
        <v>0.25</v>
      </c>
      <c r="M394" s="780"/>
      <c r="N394" s="780"/>
      <c r="O394" s="780"/>
      <c r="P394" s="780"/>
      <c r="Q394" s="1767">
        <f t="shared" ref="Q394:Q396" si="225">IF(OR(G394="Yes",G394="N/A"),0,1)</f>
        <v>0</v>
      </c>
      <c r="R394" s="819">
        <f>IF(I394=1,E394,0)</f>
        <v>0</v>
      </c>
      <c r="S394" s="819">
        <f>IF(I394=1,0,E394)</f>
        <v>0.25</v>
      </c>
      <c r="T394" s="860">
        <f>IFERROR(S394/$S$397,0)</f>
        <v>0.25</v>
      </c>
      <c r="U394" s="819">
        <f>S394+(T394*$R$397)</f>
        <v>0.25</v>
      </c>
      <c r="AE394" s="456" t="s">
        <v>400</v>
      </c>
      <c r="AF394" s="1107">
        <f>IF(AND(AI382="",AI383=""),AG395,IF(AND(AI382=Uncertain,AI383=Uncertain),AF397,AH395))</f>
        <v>5</v>
      </c>
      <c r="AK394" s="441"/>
      <c r="AL394" s="441"/>
      <c r="BE394" s="439"/>
    </row>
    <row r="395" spans="2:57" s="440" customFormat="1" ht="15" customHeight="1" x14ac:dyDescent="0.3">
      <c r="B395" s="771" t="str">
        <f>'III.Risk Assessment'!B77</f>
        <v>(iii)</v>
      </c>
      <c r="C395" s="790" t="str">
        <f>'III.Risk Assessment'!D77</f>
        <v>Are guarantees, payment security measures or other cash contingency measures envisaged to support the PPP project in obtaining timely payments in relation to the payment obligations of the contracting authority?</v>
      </c>
      <c r="D395" s="790">
        <f t="shared" si="219"/>
        <v>1</v>
      </c>
      <c r="E395" s="808">
        <f>D93</f>
        <v>0.25</v>
      </c>
      <c r="F395" s="874" t="str">
        <f>IF(C395=0,NA,'III.Risk Assessment'!AB77)</f>
        <v>Yes</v>
      </c>
      <c r="G395" s="783" t="str">
        <f t="shared" si="220"/>
        <v>Yes</v>
      </c>
      <c r="H395" s="783">
        <f t="shared" si="221"/>
        <v>1</v>
      </c>
      <c r="I395" s="793">
        <f t="shared" si="222"/>
        <v>0</v>
      </c>
      <c r="J395" s="793">
        <f t="shared" si="223"/>
        <v>0</v>
      </c>
      <c r="K395" s="794">
        <f>U395</f>
        <v>0.25</v>
      </c>
      <c r="L395" s="800">
        <f t="shared" si="224"/>
        <v>0.25</v>
      </c>
      <c r="M395" s="780"/>
      <c r="N395" s="831"/>
      <c r="O395" s="831"/>
      <c r="P395" s="831"/>
      <c r="Q395" s="1767">
        <f t="shared" si="225"/>
        <v>0</v>
      </c>
      <c r="R395" s="819">
        <f>IF(I395=1,E395,0)</f>
        <v>0</v>
      </c>
      <c r="S395" s="819">
        <f>IF(I395=1,0,E395)</f>
        <v>0.25</v>
      </c>
      <c r="T395" s="860">
        <f>IFERROR(S395/$S$397,0)</f>
        <v>0.25</v>
      </c>
      <c r="U395" s="819">
        <f>S395+(T395*$R$397)</f>
        <v>0.25</v>
      </c>
      <c r="AE395" s="456" t="s">
        <v>399</v>
      </c>
      <c r="AF395" s="968">
        <f>J13</f>
        <v>0.5</v>
      </c>
      <c r="AG395" s="1822">
        <f>IF(AND(AC385=1,AE391=1),AE385,IF(AND(AC386=1,AE391=1),AE386,IF(AND(AC387=1,AE391=1),AE387,IF(AND(AC388=1,AE391=1),AE388,IF(AND(AC389=1,AE391=1),AE389,IF(AND(AC385=1,AF391=1),AF385,IF(AND(AC386=1,AF391=1),AF386,IF(AND(AC387=1,AF391=1),AF387,IF(AND(AC388=1,AF391=1),AF388,IF(AND(AC389=1,AF391=1),AF389,IF(AND(AC385=1,AG391=1),AG385,IF(AND(AC386=1,AG391=1),AG386,IF(AND(AC387=1,AG391=1),AG387,IF(AND(AC388=1,AG391=1),AG388,IF(AND(AC389=1,AG391=1),AG389,IF(AND(AC385=1,AH391=1),AH385,IF(AND(AC386=1,AH391=1),AH386,IF(AND(AC387=1,AH391=1),AH387,IF(AND(AC388=1,AH391=1),AH388,IF(AND(AC389=1,AH391=1),AH389,IF(AND(AC385=1,AI391=1),AI385,IF(AND(AC386=1,AI391=1),AI386,IF(AND(AC387=1,AI391=1),AI387,IF(AND(AC388=1,AI391=1),AI388,IF(AND(AC389=1,AI391=1),AI389)))))))))))))))))))))))))</f>
        <v>5</v>
      </c>
      <c r="AH395" s="1819">
        <f>IF(AND(AI383=Uncertain,AI382=""),SUMIF(AE391:AI391,1,AE393:AI393),IF(AND(AI383="",AI382=Uncertain),SUMIF(AC385:AC389,1,AB385:AB389),0))</f>
        <v>5</v>
      </c>
      <c r="AK395" s="441"/>
      <c r="AL395" s="441"/>
      <c r="BE395" s="439"/>
    </row>
    <row r="396" spans="2:57" s="440" customFormat="1" ht="15" customHeight="1" x14ac:dyDescent="0.3">
      <c r="B396" s="771" t="str">
        <f>'III.Risk Assessment'!B78</f>
        <v>(iv)</v>
      </c>
      <c r="C396" s="790" t="str">
        <f>'III.Risk Assessment'!D78</f>
        <v>In the event of disputes on payments linked to performance measurements, are there arrangements envisaged to release the undisputed amount or is there a cap on the maximum amount that can be retained by the offtaker pending the dispute?</v>
      </c>
      <c r="D396" s="790">
        <f t="shared" si="219"/>
        <v>1</v>
      </c>
      <c r="E396" s="808">
        <f>D94</f>
        <v>0.25</v>
      </c>
      <c r="F396" s="874" t="str">
        <f>IF(C396=0,NA,'III.Risk Assessment'!AB78)</f>
        <v>Yes</v>
      </c>
      <c r="G396" s="783" t="str">
        <f t="shared" si="220"/>
        <v>Yes</v>
      </c>
      <c r="H396" s="783">
        <f t="shared" si="221"/>
        <v>1</v>
      </c>
      <c r="I396" s="793">
        <f t="shared" si="222"/>
        <v>0</v>
      </c>
      <c r="J396" s="793">
        <f t="shared" si="223"/>
        <v>0</v>
      </c>
      <c r="K396" s="794">
        <f>U396</f>
        <v>0.25</v>
      </c>
      <c r="L396" s="800">
        <f t="shared" si="224"/>
        <v>0.25</v>
      </c>
      <c r="M396" s="780"/>
      <c r="N396" s="831"/>
      <c r="O396" s="831"/>
      <c r="P396" s="831"/>
      <c r="Q396" s="1767">
        <f t="shared" si="225"/>
        <v>0</v>
      </c>
      <c r="R396" s="819">
        <f>IF(I396=1,E396,0)</f>
        <v>0</v>
      </c>
      <c r="S396" s="819">
        <f>IF(I396=1,0,E396)</f>
        <v>0.25</v>
      </c>
      <c r="T396" s="860">
        <f>IFERROR(S396/$S$397,0)</f>
        <v>0.25</v>
      </c>
      <c r="U396" s="819">
        <f>S396+(T396*$R$397)</f>
        <v>0.25</v>
      </c>
      <c r="AE396" s="456" t="s">
        <v>401</v>
      </c>
      <c r="AF396" s="967">
        <f>AF395*AF394</f>
        <v>2.5</v>
      </c>
      <c r="AK396" s="441"/>
      <c r="AL396" s="441"/>
      <c r="BE396" s="439"/>
    </row>
    <row r="397" spans="2:57" s="440" customFormat="1" ht="15" customHeight="1" x14ac:dyDescent="0.3">
      <c r="B397" s="771"/>
      <c r="C397" s="771"/>
      <c r="D397" s="771"/>
      <c r="E397" s="780"/>
      <c r="F397" s="777"/>
      <c r="G397" s="777"/>
      <c r="H397" s="780"/>
      <c r="I397" s="780"/>
      <c r="J397" s="780"/>
      <c r="K397" s="780"/>
      <c r="L397" s="780"/>
      <c r="M397" s="780"/>
      <c r="N397" s="780"/>
      <c r="O397" s="780"/>
      <c r="P397" s="780"/>
      <c r="Q397" s="1766">
        <f>IF(ISERROR(SUM(Q393:Q396)/(H392-I392)),0,SUM(Q393:Q396)/(H392-I392))</f>
        <v>0</v>
      </c>
      <c r="R397" s="773">
        <f>SUM(R393:R396)</f>
        <v>0</v>
      </c>
      <c r="S397" s="773">
        <f>S393+S394+S395+S396</f>
        <v>1</v>
      </c>
      <c r="T397" s="773">
        <f>T393+T394+T395+T396</f>
        <v>1</v>
      </c>
      <c r="U397" s="773">
        <f>U393+U394+U395+U396</f>
        <v>1</v>
      </c>
      <c r="AE397" s="1819" t="s">
        <v>594</v>
      </c>
      <c r="AF397" s="1820">
        <f>IF(AND(AI382=Uncertain,AI383=Uncertain),1,0)</f>
        <v>0</v>
      </c>
      <c r="AG397" s="1821" t="str">
        <f>IF(AF397=1,Yes,No)</f>
        <v>No</v>
      </c>
      <c r="AK397" s="441"/>
      <c r="AL397" s="441"/>
      <c r="BE397" s="439"/>
    </row>
    <row r="398" spans="2:57" s="440" customFormat="1" ht="15" customHeight="1" x14ac:dyDescent="0.3">
      <c r="B398" s="863">
        <f>'III.Risk Assessment'!B80</f>
        <v>7</v>
      </c>
      <c r="C398" s="863" t="str">
        <f>'III.Risk Assessment'!D80</f>
        <v>Foreign Exchange Risk</v>
      </c>
      <c r="D398" s="863">
        <f>SUM(D399:D401)</f>
        <v>3</v>
      </c>
      <c r="E398" s="900">
        <f>Admin!I23</f>
        <v>0.125</v>
      </c>
      <c r="F398" s="864"/>
      <c r="G398" s="864"/>
      <c r="H398" s="1771">
        <f>COUNTA(H399:H401)</f>
        <v>3</v>
      </c>
      <c r="I398" s="1771">
        <f>SUM(I399:I401)</f>
        <v>0</v>
      </c>
      <c r="J398" s="1056">
        <f>COUNTIF(J399:J401,1)/COUNT(J399:J401)</f>
        <v>0</v>
      </c>
      <c r="K398" s="864"/>
      <c r="L398" s="865"/>
      <c r="M398" s="1360">
        <f>IF(F402="No",0,MIN(Q398*$Z$378+Z377,IF(J398&gt;O303,MIN(O302,IF(COUNTIF(F399:F401,"No")&gt;=2,MIN($O$398,(Z378*SUM(L399:L401)*$S$197)+Z377),IF(COUNTIF(H399:H401,0.5)&gt;=2,MIN($O$399,(Z378*SUM(L399:L401)*$S$197)+Z377),(Z378*SUM(L399:L401)*$S$197)+Z377))),IF(COUNTIF(F399:F401,"No")&gt;=2,MIN($O$398,(Z378*SUM(L399:L401)*$S$197)+Z377),IF(COUNTIF(H399:H401,0.5)&gt;=2,MIN($O$399,(Z378*SUM(L399:L401)*$S$197)+Z377),(Z378*SUM(L399:L401)*$S$197)+Z377)))))</f>
        <v>5</v>
      </c>
      <c r="N398" s="865">
        <f>E398*M398</f>
        <v>0.625</v>
      </c>
      <c r="O398" s="529">
        <v>2</v>
      </c>
      <c r="P398" s="529"/>
      <c r="Q398" s="1772">
        <f>VLOOKUP(Q402,$D$147:$F$150,3)</f>
        <v>5</v>
      </c>
      <c r="R398" s="865"/>
      <c r="S398" s="529"/>
      <c r="T398" s="865"/>
      <c r="U398" s="529"/>
      <c r="AK398" s="441"/>
      <c r="AL398" s="441"/>
      <c r="BE398" s="439"/>
    </row>
    <row r="399" spans="2:57" s="440" customFormat="1" ht="15" customHeight="1" x14ac:dyDescent="0.3">
      <c r="B399" s="771" t="str">
        <f>'III.Risk Assessment'!B81</f>
        <v>(i)</v>
      </c>
      <c r="C399" s="790" t="str">
        <f>'III.Risk Assessment'!D81</f>
        <v>Will the project be able to manage the foreign exchange risk by obtaining an adequate hedging cover? For example, through forward exchange contracts, options, or similar arrangements.</v>
      </c>
      <c r="D399" s="790">
        <f t="shared" ref="D399:D401" si="226">IF(C399=0,0,1)</f>
        <v>1</v>
      </c>
      <c r="E399" s="808">
        <f>D95</f>
        <v>0.33333333333333331</v>
      </c>
      <c r="F399" s="874" t="str">
        <f>IF(C399=0,NA,'III.Risk Assessment'!AB81)</f>
        <v>Yes</v>
      </c>
      <c r="G399" s="783" t="str">
        <f t="shared" ref="G399:G400" si="227">VLOOKUP(F399,$B$179:$F$184,4,FALSE)</f>
        <v>Yes</v>
      </c>
      <c r="H399" s="783">
        <f t="shared" ref="H399:H401" si="228">VLOOKUP(G399,$B$179:$C$184,2,FALSE)</f>
        <v>1</v>
      </c>
      <c r="I399" s="793">
        <f t="shared" ref="I399:I401" si="229">IF(G399="N/A",1,0)</f>
        <v>0</v>
      </c>
      <c r="J399" s="793">
        <f t="shared" ref="J399:J401" si="230">IF(G399="Skip",1,0)</f>
        <v>0</v>
      </c>
      <c r="K399" s="794">
        <f>U399</f>
        <v>0.33333333333333331</v>
      </c>
      <c r="L399" s="800">
        <f t="shared" ref="L399:L401" si="231">K399*H399</f>
        <v>0.33333333333333331</v>
      </c>
      <c r="M399" s="780"/>
      <c r="N399" s="780"/>
      <c r="O399" s="780">
        <v>2.5</v>
      </c>
      <c r="P399" s="780"/>
      <c r="Q399" s="1767">
        <f>IF(OR(G399="Yes",G399="N/A"),0,1)</f>
        <v>0</v>
      </c>
      <c r="R399" s="819">
        <f>IF(I399=1,E399,0)</f>
        <v>0</v>
      </c>
      <c r="S399" s="819">
        <f>IF(I399=1,0,E399)</f>
        <v>0.33333333333333331</v>
      </c>
      <c r="T399" s="860">
        <f>IFERROR(S399/$S$404,0)</f>
        <v>0.33333333333333331</v>
      </c>
      <c r="U399" s="819">
        <f>S399+(T399*$R$404)</f>
        <v>0.33333333333333331</v>
      </c>
      <c r="AK399" s="441"/>
      <c r="AL399" s="441"/>
      <c r="BE399" s="439"/>
    </row>
    <row r="400" spans="2:57" s="440" customFormat="1" ht="15" customHeight="1" x14ac:dyDescent="0.3">
      <c r="B400" s="771" t="str">
        <f>'III.Risk Assessment'!B82</f>
        <v>(ii)</v>
      </c>
      <c r="C400" s="790" t="str">
        <f>'III.Risk Assessment'!D82</f>
        <v>Have all the costs related to foreign exchange risk been factored into the financial assessment?</v>
      </c>
      <c r="D400" s="790">
        <f t="shared" si="226"/>
        <v>1</v>
      </c>
      <c r="E400" s="808">
        <f>D96</f>
        <v>0.33333333333333331</v>
      </c>
      <c r="F400" s="874" t="str">
        <f>IF(C400=0,NA,'III.Risk Assessment'!AB82)</f>
        <v>Yes</v>
      </c>
      <c r="G400" s="783" t="str">
        <f t="shared" si="227"/>
        <v>Yes</v>
      </c>
      <c r="H400" s="783">
        <f t="shared" si="228"/>
        <v>1</v>
      </c>
      <c r="I400" s="793">
        <f t="shared" si="229"/>
        <v>0</v>
      </c>
      <c r="J400" s="793">
        <f t="shared" si="230"/>
        <v>0</v>
      </c>
      <c r="K400" s="794">
        <f>U400</f>
        <v>0.33333333333333331</v>
      </c>
      <c r="L400" s="800">
        <f t="shared" si="231"/>
        <v>0.33333333333333331</v>
      </c>
      <c r="M400" s="780"/>
      <c r="N400" s="780"/>
      <c r="O400" s="780"/>
      <c r="P400" s="780"/>
      <c r="Q400" s="1767">
        <f t="shared" ref="Q400:Q401" si="232">IF(OR(G400="Yes",G400="N/A"),0,1)</f>
        <v>0</v>
      </c>
      <c r="R400" s="819">
        <f>IF(I400=1,E400,0)</f>
        <v>0</v>
      </c>
      <c r="S400" s="819">
        <f>IF(I400=1,0,E400)</f>
        <v>0.33333333333333331</v>
      </c>
      <c r="T400" s="860">
        <f>IFERROR(S400/$S$404,0)</f>
        <v>0.33333333333333331</v>
      </c>
      <c r="U400" s="819">
        <f>S400+(T400*$R$404)</f>
        <v>0.33333333333333331</v>
      </c>
      <c r="AK400" s="441"/>
      <c r="AL400" s="441"/>
      <c r="BE400" s="439"/>
    </row>
    <row r="401" spans="1:57" s="440" customFormat="1" ht="15" customHeight="1" x14ac:dyDescent="0.3">
      <c r="B401" s="771" t="str">
        <f>'III.Risk Assessment'!B83</f>
        <v>(iii)</v>
      </c>
      <c r="C401" s="790" t="str">
        <f>'III.Risk Assessment'!D83</f>
        <v>Are there any other factors or concerns related to foreign exchange risk that could severly impact the project's financial viability or ability to raise financing?</v>
      </c>
      <c r="D401" s="790">
        <f t="shared" si="226"/>
        <v>1</v>
      </c>
      <c r="E401" s="808">
        <f>D97</f>
        <v>0.33333333333333331</v>
      </c>
      <c r="F401" s="874" t="str">
        <f>IF(C401=0,NA,'III.Risk Assessment'!AB83)</f>
        <v>No</v>
      </c>
      <c r="G401" s="783" t="str">
        <f>VLOOKUP(F401,$B$179:$F$184,5,FALSE)</f>
        <v>Yes</v>
      </c>
      <c r="H401" s="783">
        <f t="shared" si="228"/>
        <v>1</v>
      </c>
      <c r="I401" s="793">
        <f t="shared" si="229"/>
        <v>0</v>
      </c>
      <c r="J401" s="793">
        <f t="shared" si="230"/>
        <v>0</v>
      </c>
      <c r="K401" s="794">
        <f>U401</f>
        <v>0.33333333333333331</v>
      </c>
      <c r="L401" s="800">
        <f t="shared" si="231"/>
        <v>0.33333333333333331</v>
      </c>
      <c r="M401" s="780"/>
      <c r="N401" s="831"/>
      <c r="O401" s="831"/>
      <c r="P401" s="831"/>
      <c r="Q401" s="1767">
        <f t="shared" si="232"/>
        <v>0</v>
      </c>
      <c r="R401" s="819">
        <f>IF(I401=1,E401,0)</f>
        <v>0</v>
      </c>
      <c r="S401" s="819">
        <f>IF(I401=1,0,E401)</f>
        <v>0.33333333333333331</v>
      </c>
      <c r="T401" s="860">
        <f>IFERROR(S401/$S$404,0)</f>
        <v>0.33333333333333331</v>
      </c>
      <c r="U401" s="819">
        <f>S401+(T401*$R$404)</f>
        <v>0.33333333333333331</v>
      </c>
      <c r="AK401" s="441"/>
      <c r="AL401" s="441"/>
      <c r="BE401" s="439"/>
    </row>
    <row r="402" spans="1:57" s="440" customFormat="1" ht="15" customHeight="1" x14ac:dyDescent="0.3">
      <c r="B402" s="771"/>
      <c r="C402" s="1780" t="str">
        <f>'0.Basic Project Data'!D51</f>
        <v>Will the project be exposed to foreign exchange risk?</v>
      </c>
      <c r="D402" s="1777"/>
      <c r="E402" s="1778"/>
      <c r="F402" s="1779" t="str">
        <f>'0.Basic Project Data'!H51</f>
        <v>Yes</v>
      </c>
      <c r="G402" s="874"/>
      <c r="H402" s="783"/>
      <c r="I402" s="793"/>
      <c r="J402" s="793"/>
      <c r="K402" s="794"/>
      <c r="L402" s="800"/>
      <c r="M402" s="780"/>
      <c r="N402" s="831"/>
      <c r="O402" s="831"/>
      <c r="P402" s="831"/>
      <c r="Q402" s="1766">
        <f>IF(ISERROR(SUM(Q399:Q401)/(H398-I398)),0,SUM(Q399:Q401)/(H398-I398))</f>
        <v>0</v>
      </c>
      <c r="R402" s="819"/>
      <c r="S402" s="819"/>
      <c r="T402" s="860"/>
      <c r="U402" s="819"/>
      <c r="AK402" s="441"/>
      <c r="AL402" s="441"/>
      <c r="BE402" s="439"/>
    </row>
    <row r="403" spans="1:57" s="440" customFormat="1" ht="15" customHeight="1" x14ac:dyDescent="0.3">
      <c r="B403" s="771"/>
      <c r="C403" s="790"/>
      <c r="D403" s="790"/>
      <c r="E403" s="1006"/>
      <c r="F403" s="874"/>
      <c r="G403" s="874"/>
      <c r="H403" s="783"/>
      <c r="I403" s="793"/>
      <c r="J403" s="793"/>
      <c r="K403" s="794"/>
      <c r="L403" s="800"/>
      <c r="M403" s="780"/>
      <c r="N403" s="780"/>
      <c r="O403" s="780"/>
      <c r="P403" s="780"/>
      <c r="R403" s="819"/>
      <c r="S403" s="819"/>
      <c r="T403" s="860"/>
      <c r="U403" s="819"/>
      <c r="AK403" s="441"/>
      <c r="AL403" s="441"/>
      <c r="BE403" s="439"/>
    </row>
    <row r="404" spans="1:57" s="440" customFormat="1" ht="15" customHeight="1" x14ac:dyDescent="0.3">
      <c r="B404" s="771"/>
      <c r="C404" s="906"/>
      <c r="D404" s="906"/>
      <c r="E404" s="780"/>
      <c r="F404" s="777"/>
      <c r="G404" s="777"/>
      <c r="H404" s="780"/>
      <c r="I404" s="780"/>
      <c r="J404" s="780"/>
      <c r="K404" s="780"/>
      <c r="L404" s="780"/>
      <c r="M404" s="780"/>
      <c r="N404" s="780"/>
      <c r="O404" s="780"/>
      <c r="P404" s="780"/>
      <c r="R404" s="773">
        <f>SUM(R399:R403)</f>
        <v>0</v>
      </c>
      <c r="S404" s="773">
        <f t="shared" ref="S404:U404" si="233">SUM(S399:S403)</f>
        <v>1</v>
      </c>
      <c r="T404" s="773">
        <f t="shared" si="233"/>
        <v>1</v>
      </c>
      <c r="U404" s="773">
        <f t="shared" si="233"/>
        <v>1</v>
      </c>
      <c r="AK404" s="441"/>
      <c r="AL404" s="441"/>
      <c r="BE404" s="439"/>
    </row>
    <row r="405" spans="1:57" s="440" customFormat="1" ht="15" customHeight="1" x14ac:dyDescent="0.3">
      <c r="B405" s="863">
        <f>'III.Risk Assessment'!B85</f>
        <v>8</v>
      </c>
      <c r="C405" s="863" t="str">
        <f>'III.Risk Assessment'!D85</f>
        <v>Environmental and Social Risk</v>
      </c>
      <c r="D405" s="863">
        <f>SUM(D406:D412)</f>
        <v>7</v>
      </c>
      <c r="E405" s="900">
        <f>Admin!I24</f>
        <v>0.125</v>
      </c>
      <c r="F405" s="864"/>
      <c r="G405" s="864"/>
      <c r="H405" s="1771">
        <f>COUNTA(H406:H412)</f>
        <v>7</v>
      </c>
      <c r="I405" s="1771">
        <f>SUM(I406:I412)</f>
        <v>0</v>
      </c>
      <c r="J405" s="1056">
        <f>COUNTIF(J406:J412,1)/COUNT(J406:J412)</f>
        <v>0</v>
      </c>
      <c r="K405" s="864"/>
      <c r="L405" s="865"/>
      <c r="M405" s="1360">
        <f>MIN(Q405,AVERAGE(M310,M318,SUM(L406:L412)*$S$197))</f>
        <v>5</v>
      </c>
      <c r="N405" s="865">
        <f>E405*M405</f>
        <v>0.625</v>
      </c>
      <c r="O405" s="529"/>
      <c r="P405" s="529"/>
      <c r="Q405" s="1772">
        <f>VLOOKUP(Q413,$D$147:$F$150,3)</f>
        <v>5</v>
      </c>
      <c r="R405" s="865"/>
      <c r="S405" s="529"/>
      <c r="T405" s="865"/>
      <c r="U405" s="529"/>
      <c r="AK405" s="441"/>
      <c r="AL405" s="441"/>
      <c r="BE405" s="439"/>
    </row>
    <row r="406" spans="1:57" s="440" customFormat="1" ht="15" customHeight="1" x14ac:dyDescent="0.3">
      <c r="B406" s="771" t="str">
        <f>'III.Risk Assessment'!B86</f>
        <v>(i)</v>
      </c>
      <c r="C406" s="790" t="str">
        <f>'III.Risk Assessment'!D86</f>
        <v>Is there a credible environmental and social impact analysis of the PPP?</v>
      </c>
      <c r="D406" s="790">
        <f t="shared" ref="D406:D412" si="234">IF(C406=0,0,1)</f>
        <v>1</v>
      </c>
      <c r="E406" s="808">
        <f t="shared" ref="E406:E412" si="235">D98</f>
        <v>0.14285714285714285</v>
      </c>
      <c r="F406" s="874" t="str">
        <f>IF(C406=0,NA,'III.Risk Assessment'!AB86)</f>
        <v>Yes</v>
      </c>
      <c r="G406" s="783" t="str">
        <f t="shared" ref="G406:G412" si="236">VLOOKUP(F406,$B$179:$F$184,4,FALSE)</f>
        <v>Yes</v>
      </c>
      <c r="H406" s="783">
        <f t="shared" ref="H406:H412" si="237">VLOOKUP(G406,$B$179:$C$184,2,FALSE)</f>
        <v>1</v>
      </c>
      <c r="I406" s="793">
        <f t="shared" ref="I406:I412" si="238">IF(G406="N/A",1,0)</f>
        <v>0</v>
      </c>
      <c r="J406" s="793">
        <f t="shared" ref="J406:J412" si="239">IF(G406="Skip",1,0)</f>
        <v>0</v>
      </c>
      <c r="K406" s="794">
        <f t="shared" ref="K406:K412" si="240">U406</f>
        <v>0.14285714285714285</v>
      </c>
      <c r="L406" s="800">
        <f t="shared" ref="L406:L410" si="241">K406*H406</f>
        <v>0.14285714285714285</v>
      </c>
      <c r="M406" s="780"/>
      <c r="N406" s="780"/>
      <c r="O406" s="780"/>
      <c r="P406" s="780"/>
      <c r="Q406" s="1767">
        <f>IF(OR(G406="Yes",G406="N/A"),0,1)</f>
        <v>0</v>
      </c>
      <c r="R406" s="819">
        <f t="shared" ref="R406:R412" si="242">IF(I406=1,E406,0)</f>
        <v>0</v>
      </c>
      <c r="S406" s="819">
        <f t="shared" ref="S406:S412" si="243">IF(I406=1,0,E406)</f>
        <v>0.14285714285714285</v>
      </c>
      <c r="T406" s="860">
        <f t="shared" ref="T406:T412" si="244">IFERROR(S406/$S$413,0)</f>
        <v>0.14285714285714288</v>
      </c>
      <c r="U406" s="819">
        <f t="shared" ref="U406:U412" si="245">S406+(T406*$R$413)</f>
        <v>0.14285714285714285</v>
      </c>
      <c r="AK406" s="441"/>
      <c r="AL406" s="441"/>
      <c r="BE406" s="439"/>
    </row>
    <row r="407" spans="1:57" s="440" customFormat="1" ht="15" customHeight="1" x14ac:dyDescent="0.3">
      <c r="B407" s="771" t="str">
        <f>'III.Risk Assessment'!B87</f>
        <v>(ii)</v>
      </c>
      <c r="C407" s="790" t="str">
        <f>'III.Risk Assessment'!D87</f>
        <v>Are the costs of mitigating the environmental and social impacts of the project considered in the PPP?</v>
      </c>
      <c r="D407" s="790">
        <f t="shared" si="234"/>
        <v>1</v>
      </c>
      <c r="E407" s="808">
        <f t="shared" si="235"/>
        <v>0.14285714285714285</v>
      </c>
      <c r="F407" s="874" t="str">
        <f>IF(C407=0,NA,'III.Risk Assessment'!AB87)</f>
        <v>Yes</v>
      </c>
      <c r="G407" s="783" t="str">
        <f t="shared" si="236"/>
        <v>Yes</v>
      </c>
      <c r="H407" s="783">
        <f t="shared" si="237"/>
        <v>1</v>
      </c>
      <c r="I407" s="793">
        <f t="shared" si="238"/>
        <v>0</v>
      </c>
      <c r="J407" s="793">
        <f t="shared" si="239"/>
        <v>0</v>
      </c>
      <c r="K407" s="794">
        <f t="shared" si="240"/>
        <v>0.14285714285714285</v>
      </c>
      <c r="L407" s="800">
        <f t="shared" si="241"/>
        <v>0.14285714285714285</v>
      </c>
      <c r="M407" s="780"/>
      <c r="N407" s="780"/>
      <c r="O407" s="780"/>
      <c r="P407" s="780"/>
      <c r="Q407" s="1767">
        <f t="shared" ref="Q407:Q412" si="246">IF(OR(G407="Yes",G407="N/A"),0,1)</f>
        <v>0</v>
      </c>
      <c r="R407" s="819">
        <f t="shared" si="242"/>
        <v>0</v>
      </c>
      <c r="S407" s="819">
        <f t="shared" si="243"/>
        <v>0.14285714285714285</v>
      </c>
      <c r="T407" s="860">
        <f t="shared" si="244"/>
        <v>0.14285714285714288</v>
      </c>
      <c r="U407" s="819">
        <f t="shared" si="245"/>
        <v>0.14285714285714285</v>
      </c>
      <c r="AK407" s="441"/>
      <c r="AL407" s="441"/>
      <c r="BE407" s="439"/>
    </row>
    <row r="408" spans="1:57" s="440" customFormat="1" ht="15" customHeight="1" x14ac:dyDescent="0.3">
      <c r="B408" s="771" t="str">
        <f>'III.Risk Assessment'!B88</f>
        <v>(iii)</v>
      </c>
      <c r="C408" s="790" t="str">
        <f>'III.Risk Assessment'!D88</f>
        <v>Can the private sector manage the environmental and social impact mitigation measures envisaged in its scope?</v>
      </c>
      <c r="D408" s="790">
        <f t="shared" si="234"/>
        <v>1</v>
      </c>
      <c r="E408" s="808">
        <f t="shared" si="235"/>
        <v>0.14285714285714285</v>
      </c>
      <c r="F408" s="874" t="str">
        <f>IF(C408=0,NA,'III.Risk Assessment'!AB88)</f>
        <v>Yes</v>
      </c>
      <c r="G408" s="783" t="str">
        <f t="shared" si="236"/>
        <v>Yes</v>
      </c>
      <c r="H408" s="783">
        <f t="shared" si="237"/>
        <v>1</v>
      </c>
      <c r="I408" s="793">
        <f t="shared" si="238"/>
        <v>0</v>
      </c>
      <c r="J408" s="793">
        <f t="shared" si="239"/>
        <v>0</v>
      </c>
      <c r="K408" s="794">
        <f t="shared" si="240"/>
        <v>0.14285714285714285</v>
      </c>
      <c r="L408" s="800">
        <f t="shared" si="241"/>
        <v>0.14285714285714285</v>
      </c>
      <c r="M408" s="780"/>
      <c r="N408" s="780"/>
      <c r="O408" s="780"/>
      <c r="P408" s="780"/>
      <c r="Q408" s="1767">
        <f t="shared" si="246"/>
        <v>0</v>
      </c>
      <c r="R408" s="819">
        <f t="shared" si="242"/>
        <v>0</v>
      </c>
      <c r="S408" s="819">
        <f t="shared" si="243"/>
        <v>0.14285714285714285</v>
      </c>
      <c r="T408" s="860">
        <f t="shared" si="244"/>
        <v>0.14285714285714288</v>
      </c>
      <c r="U408" s="819">
        <f t="shared" si="245"/>
        <v>0.14285714285714285</v>
      </c>
      <c r="AK408" s="441"/>
      <c r="AL408" s="441"/>
      <c r="BE408" s="439"/>
    </row>
    <row r="409" spans="1:57" s="440" customFormat="1" ht="15" customHeight="1" x14ac:dyDescent="0.3">
      <c r="B409" s="771" t="str">
        <f>'III.Risk Assessment'!B89</f>
        <v>(iv)</v>
      </c>
      <c r="C409" s="790" t="str">
        <f>'III.Risk Assessment'!D89</f>
        <v>Will the private sector take on environmental and social risks applicable after the contract signing date and not prior period liabilities?</v>
      </c>
      <c r="D409" s="790">
        <f t="shared" si="234"/>
        <v>1</v>
      </c>
      <c r="E409" s="808">
        <f t="shared" si="235"/>
        <v>0.14285714285714285</v>
      </c>
      <c r="F409" s="874" t="str">
        <f>IF(C409=0,NA,'III.Risk Assessment'!AB89)</f>
        <v>Yes</v>
      </c>
      <c r="G409" s="783" t="str">
        <f t="shared" si="236"/>
        <v>Yes</v>
      </c>
      <c r="H409" s="783">
        <f t="shared" si="237"/>
        <v>1</v>
      </c>
      <c r="I409" s="793">
        <f t="shared" si="238"/>
        <v>0</v>
      </c>
      <c r="J409" s="793">
        <f t="shared" si="239"/>
        <v>0</v>
      </c>
      <c r="K409" s="794">
        <f t="shared" si="240"/>
        <v>0.14285714285714285</v>
      </c>
      <c r="L409" s="800">
        <f t="shared" si="241"/>
        <v>0.14285714285714285</v>
      </c>
      <c r="M409" s="780"/>
      <c r="N409" s="780"/>
      <c r="O409" s="780"/>
      <c r="P409" s="780"/>
      <c r="Q409" s="1767">
        <f t="shared" si="246"/>
        <v>0</v>
      </c>
      <c r="R409" s="819">
        <f t="shared" si="242"/>
        <v>0</v>
      </c>
      <c r="S409" s="819">
        <f t="shared" si="243"/>
        <v>0.14285714285714285</v>
      </c>
      <c r="T409" s="860">
        <f t="shared" si="244"/>
        <v>0.14285714285714288</v>
      </c>
      <c r="U409" s="819">
        <f t="shared" si="245"/>
        <v>0.14285714285714285</v>
      </c>
      <c r="AK409" s="441"/>
      <c r="AL409" s="441"/>
      <c r="BE409" s="439"/>
    </row>
    <row r="410" spans="1:57" s="440" customFormat="1" ht="15" customHeight="1" x14ac:dyDescent="0.3">
      <c r="B410" s="771" t="str">
        <f>'III.Risk Assessment'!B90</f>
        <v>(v)</v>
      </c>
      <c r="C410" s="790" t="str">
        <f>'III.Risk Assessment'!D90</f>
        <v xml:space="preserve">Will there be contractual measures to ensure that the project financials are reset in the event of delays in executing mitigation for reasons beyond the control of the project company? </v>
      </c>
      <c r="D410" s="790">
        <f t="shared" si="234"/>
        <v>1</v>
      </c>
      <c r="E410" s="808">
        <f t="shared" si="235"/>
        <v>0.14285714285714285</v>
      </c>
      <c r="F410" s="874" t="str">
        <f>IF(C410=0,NA,'III.Risk Assessment'!AB90)</f>
        <v>Yes</v>
      </c>
      <c r="G410" s="783" t="str">
        <f t="shared" si="236"/>
        <v>Yes</v>
      </c>
      <c r="H410" s="783">
        <f t="shared" si="237"/>
        <v>1</v>
      </c>
      <c r="I410" s="793">
        <f t="shared" si="238"/>
        <v>0</v>
      </c>
      <c r="J410" s="793">
        <f t="shared" si="239"/>
        <v>0</v>
      </c>
      <c r="K410" s="794">
        <f t="shared" si="240"/>
        <v>0.14285714285714285</v>
      </c>
      <c r="L410" s="800">
        <f t="shared" si="241"/>
        <v>0.14285714285714285</v>
      </c>
      <c r="M410" s="780"/>
      <c r="N410" s="780"/>
      <c r="O410" s="780"/>
      <c r="P410" s="780"/>
      <c r="Q410" s="1767">
        <f t="shared" si="246"/>
        <v>0</v>
      </c>
      <c r="R410" s="819">
        <f t="shared" si="242"/>
        <v>0</v>
      </c>
      <c r="S410" s="819">
        <f t="shared" si="243"/>
        <v>0.14285714285714285</v>
      </c>
      <c r="T410" s="860">
        <f t="shared" si="244"/>
        <v>0.14285714285714288</v>
      </c>
      <c r="U410" s="819">
        <f t="shared" si="245"/>
        <v>0.14285714285714285</v>
      </c>
      <c r="AK410" s="441"/>
      <c r="AL410" s="441"/>
      <c r="BE410" s="439"/>
    </row>
    <row r="411" spans="1:57" s="440" customFormat="1" ht="15" customHeight="1" x14ac:dyDescent="0.3">
      <c r="B411" s="771" t="s">
        <v>387</v>
      </c>
      <c r="C411" s="790" t="str">
        <f>C358</f>
        <v>Has the government prepared or committed to prepare a fully-budgeted land acquisition plan?</v>
      </c>
      <c r="D411" s="790">
        <f t="shared" si="234"/>
        <v>1</v>
      </c>
      <c r="E411" s="808">
        <f t="shared" si="235"/>
        <v>0.14285714285714285</v>
      </c>
      <c r="F411" s="874" t="str">
        <f>IF(C358=0,NA,F358)</f>
        <v>Yes</v>
      </c>
      <c r="G411" s="783" t="str">
        <f t="shared" si="236"/>
        <v>Yes</v>
      </c>
      <c r="H411" s="783">
        <f t="shared" si="237"/>
        <v>1</v>
      </c>
      <c r="I411" s="793">
        <f t="shared" si="238"/>
        <v>0</v>
      </c>
      <c r="J411" s="793">
        <f t="shared" si="239"/>
        <v>0</v>
      </c>
      <c r="K411" s="794">
        <f t="shared" si="240"/>
        <v>0.14285714285714285</v>
      </c>
      <c r="L411" s="800">
        <f t="shared" ref="L411:L412" si="247">K411*H411</f>
        <v>0.14285714285714285</v>
      </c>
      <c r="M411" s="780"/>
      <c r="N411" s="780"/>
      <c r="O411" s="780"/>
      <c r="P411" s="780"/>
      <c r="Q411" s="1767">
        <f t="shared" si="246"/>
        <v>0</v>
      </c>
      <c r="R411" s="819">
        <f t="shared" si="242"/>
        <v>0</v>
      </c>
      <c r="S411" s="819">
        <f t="shared" si="243"/>
        <v>0.14285714285714285</v>
      </c>
      <c r="T411" s="860">
        <f t="shared" si="244"/>
        <v>0.14285714285714288</v>
      </c>
      <c r="U411" s="819">
        <f t="shared" si="245"/>
        <v>0.14285714285714285</v>
      </c>
      <c r="AK411" s="441"/>
      <c r="AL411" s="441"/>
      <c r="BE411" s="439"/>
    </row>
    <row r="412" spans="1:57" s="440" customFormat="1" ht="15" customHeight="1" x14ac:dyDescent="0.3">
      <c r="B412" s="771" t="s">
        <v>387</v>
      </c>
      <c r="C412" s="790" t="str">
        <f>C359</f>
        <v xml:space="preserve">Will the PPP agreement have provision of 100% unencumbered land as a condition precedent? </v>
      </c>
      <c r="D412" s="790">
        <f t="shared" si="234"/>
        <v>1</v>
      </c>
      <c r="E412" s="808">
        <f t="shared" si="235"/>
        <v>0.14285714285714285</v>
      </c>
      <c r="F412" s="874" t="str">
        <f>IF(C359=0,NA,F359)</f>
        <v>Yes</v>
      </c>
      <c r="G412" s="783" t="str">
        <f t="shared" si="236"/>
        <v>Yes</v>
      </c>
      <c r="H412" s="783">
        <f t="shared" si="237"/>
        <v>1</v>
      </c>
      <c r="I412" s="793">
        <f t="shared" si="238"/>
        <v>0</v>
      </c>
      <c r="J412" s="793">
        <f t="shared" si="239"/>
        <v>0</v>
      </c>
      <c r="K412" s="794">
        <f t="shared" si="240"/>
        <v>0.14285714285714285</v>
      </c>
      <c r="L412" s="800">
        <f t="shared" si="247"/>
        <v>0.14285714285714285</v>
      </c>
      <c r="M412" s="780"/>
      <c r="N412" s="780"/>
      <c r="O412" s="780"/>
      <c r="P412" s="780"/>
      <c r="Q412" s="1767">
        <f t="shared" si="246"/>
        <v>0</v>
      </c>
      <c r="R412" s="819">
        <f t="shared" si="242"/>
        <v>0</v>
      </c>
      <c r="S412" s="819">
        <f t="shared" si="243"/>
        <v>0.14285714285714285</v>
      </c>
      <c r="T412" s="860">
        <f t="shared" si="244"/>
        <v>0.14285714285714288</v>
      </c>
      <c r="U412" s="819">
        <f t="shared" si="245"/>
        <v>0.14285714285714285</v>
      </c>
      <c r="AK412" s="441"/>
      <c r="AL412" s="441"/>
      <c r="BE412" s="439"/>
    </row>
    <row r="413" spans="1:57" s="440" customFormat="1" ht="15" customHeight="1" x14ac:dyDescent="0.3">
      <c r="B413" s="439"/>
      <c r="C413" s="856" t="s">
        <v>301</v>
      </c>
      <c r="D413" s="856"/>
      <c r="E413" s="862">
        <f>MIN($BA$365,$N$405+$N$384+$N$392+$N$379+$N$371+$N$365+$N$356+$N$398)</f>
        <v>5</v>
      </c>
      <c r="F413" s="879" t="str">
        <f>VLOOKUP($E$413,$J$198:$L$207,3,TRUE)</f>
        <v>Very Strong</v>
      </c>
      <c r="G413" s="879"/>
      <c r="H413" s="856"/>
      <c r="I413" s="856"/>
      <c r="J413" s="439"/>
      <c r="K413" s="439"/>
      <c r="L413" s="880"/>
      <c r="M413" s="880"/>
      <c r="N413" s="880"/>
      <c r="O413" s="880"/>
      <c r="P413" s="880"/>
      <c r="Q413" s="1766">
        <f>IF(ISERROR(SUM(Q406:Q412)/(H405-I405)),0,SUM(Q406:Q412)/(H405-I405))</f>
        <v>0</v>
      </c>
      <c r="R413" s="773">
        <f>SUM(R406:R412)</f>
        <v>0</v>
      </c>
      <c r="S413" s="773">
        <f>SUM(S406:S412)</f>
        <v>0.99999999999999978</v>
      </c>
      <c r="T413" s="773">
        <f>SUM(T406:T412)</f>
        <v>1.0000000000000002</v>
      </c>
      <c r="U413" s="773">
        <f>SUM(U406:U412)</f>
        <v>0.99999999999999978</v>
      </c>
      <c r="V413" s="881"/>
      <c r="W413" s="881"/>
      <c r="X413" s="881"/>
      <c r="Y413" s="882"/>
      <c r="Z413" s="882"/>
      <c r="AA413" s="882"/>
      <c r="AB413" s="882"/>
      <c r="AC413" s="882"/>
      <c r="AD413" s="882"/>
      <c r="AK413" s="441"/>
      <c r="AL413" s="441"/>
      <c r="BE413" s="439"/>
    </row>
    <row r="414" spans="1:57" s="441" customFormat="1" ht="15" customHeight="1" x14ac:dyDescent="0.3">
      <c r="B414" s="522"/>
      <c r="C414" s="533"/>
      <c r="D414" s="534"/>
      <c r="K414" s="535"/>
      <c r="BE414" s="462"/>
    </row>
    <row r="415" spans="1:57" s="441" customFormat="1" ht="28.2" x14ac:dyDescent="0.5">
      <c r="A415" s="826" t="s">
        <v>559</v>
      </c>
      <c r="B415" s="536"/>
      <c r="C415" s="537"/>
      <c r="D415" s="1586" t="s">
        <v>367</v>
      </c>
      <c r="E415" s="930"/>
      <c r="F415" s="930"/>
      <c r="G415" s="930"/>
      <c r="H415" s="930"/>
      <c r="I415" s="930"/>
      <c r="J415" s="930"/>
      <c r="K415" s="931"/>
      <c r="L415" s="930"/>
      <c r="M415" s="930"/>
      <c r="N415" s="930"/>
      <c r="O415" s="930"/>
      <c r="P415" s="930"/>
      <c r="Q415" s="538"/>
      <c r="R415" s="930" t="s">
        <v>456</v>
      </c>
      <c r="S415" s="930"/>
      <c r="T415" s="930"/>
      <c r="U415" s="930"/>
      <c r="V415" s="930"/>
      <c r="W415" s="930" t="s">
        <v>368</v>
      </c>
      <c r="X415" s="930"/>
      <c r="Y415" s="930"/>
      <c r="Z415" s="930"/>
      <c r="AA415" s="930"/>
      <c r="AB415" s="930"/>
      <c r="AC415" s="930"/>
      <c r="AD415" s="930"/>
      <c r="AE415" s="930" t="s">
        <v>369</v>
      </c>
      <c r="AF415" s="538"/>
      <c r="AG415" s="538"/>
      <c r="AH415" s="538"/>
      <c r="AI415" s="538"/>
      <c r="AJ415" s="538"/>
      <c r="AK415" s="538"/>
      <c r="AL415" s="538"/>
      <c r="AM415" s="538"/>
      <c r="AN415" s="538"/>
      <c r="AO415" s="538"/>
      <c r="AP415" s="538"/>
      <c r="AQ415" s="538"/>
      <c r="AR415" s="538"/>
      <c r="AS415" s="538"/>
      <c r="AT415" s="538"/>
      <c r="AU415" s="538"/>
      <c r="AV415" s="538"/>
      <c r="AW415" s="538"/>
      <c r="AX415" s="538"/>
      <c r="AY415" s="538"/>
      <c r="AZ415" s="538"/>
      <c r="BA415" s="538"/>
      <c r="BB415" s="538"/>
      <c r="BC415" s="538"/>
      <c r="BD415" s="538"/>
      <c r="BE415" s="462"/>
    </row>
    <row r="416" spans="1:57" s="441" customFormat="1" ht="20.25" customHeight="1" thickBot="1" x14ac:dyDescent="0.35">
      <c r="A416" s="539"/>
      <c r="B416" s="522"/>
      <c r="C416" s="533"/>
      <c r="D416" s="534"/>
      <c r="K416" s="535"/>
      <c r="BE416" s="462"/>
    </row>
    <row r="417" spans="1:57" s="441" customFormat="1" ht="57.6" x14ac:dyDescent="0.3">
      <c r="A417" s="539"/>
      <c r="B417" s="731" t="s">
        <v>31</v>
      </c>
      <c r="C417" s="731" t="s">
        <v>326</v>
      </c>
      <c r="D417" s="731" t="s">
        <v>464</v>
      </c>
      <c r="E417" s="732" t="s">
        <v>279</v>
      </c>
      <c r="F417" s="732" t="s">
        <v>32</v>
      </c>
      <c r="G417" s="732" t="s">
        <v>449</v>
      </c>
      <c r="H417" s="732" t="s">
        <v>355</v>
      </c>
      <c r="I417" s="732" t="s">
        <v>360</v>
      </c>
      <c r="J417" s="732" t="s">
        <v>361</v>
      </c>
      <c r="K417" s="732" t="s">
        <v>359</v>
      </c>
      <c r="L417" s="732" t="s">
        <v>340</v>
      </c>
      <c r="M417" s="732" t="s">
        <v>356</v>
      </c>
      <c r="N417" s="809" t="s">
        <v>365</v>
      </c>
      <c r="O417" s="809" t="s">
        <v>253</v>
      </c>
      <c r="P417" s="809" t="s">
        <v>115</v>
      </c>
      <c r="Q417" s="809" t="str">
        <f>Q274</f>
        <v>Applicable score constraints for cases with extremely poor responses (Negative, Uncertain and/or Skip) Refer cells B147:F149</v>
      </c>
      <c r="R417" s="731" t="s">
        <v>366</v>
      </c>
      <c r="S417" s="731" t="s">
        <v>374</v>
      </c>
      <c r="T417" s="731"/>
      <c r="U417" s="731"/>
      <c r="W417" s="856"/>
      <c r="X417" s="520"/>
      <c r="Z417" s="467" t="s">
        <v>15</v>
      </c>
      <c r="AA417" s="468" t="s">
        <v>8</v>
      </c>
      <c r="AB417" s="469"/>
      <c r="AC417" s="440"/>
      <c r="AE417" s="454" t="s">
        <v>370</v>
      </c>
      <c r="AF417" s="454" t="s">
        <v>371</v>
      </c>
      <c r="AG417" s="454" t="s">
        <v>282</v>
      </c>
      <c r="BE417" s="462"/>
    </row>
    <row r="418" spans="1:57" s="441" customFormat="1" ht="20.25" customHeight="1" x14ac:dyDescent="0.3">
      <c r="A418" s="539"/>
      <c r="B418" s="767">
        <v>1</v>
      </c>
      <c r="C418" s="768"/>
      <c r="D418" s="768"/>
      <c r="E418" s="768"/>
      <c r="F418" s="768"/>
      <c r="G418" s="768"/>
      <c r="H418" s="768"/>
      <c r="I418" s="768"/>
      <c r="J418" s="769"/>
      <c r="K418" s="769"/>
      <c r="L418" s="768"/>
      <c r="M418" s="770"/>
      <c r="N418" s="770"/>
      <c r="O418" s="809"/>
      <c r="P418" s="809"/>
      <c r="Q418" s="1764"/>
      <c r="R418" s="731" t="s">
        <v>362</v>
      </c>
      <c r="S418" s="731" t="s">
        <v>364</v>
      </c>
      <c r="T418" s="731" t="s">
        <v>338</v>
      </c>
      <c r="U418" s="731" t="s">
        <v>336</v>
      </c>
      <c r="W418" s="520" t="s">
        <v>47</v>
      </c>
      <c r="X418" s="520" t="s">
        <v>373</v>
      </c>
      <c r="Z418" s="472">
        <v>1</v>
      </c>
      <c r="AA418" s="461" t="s">
        <v>9</v>
      </c>
      <c r="AB418" s="497">
        <f>$E$437*180/5</f>
        <v>180</v>
      </c>
      <c r="AC418" s="540"/>
      <c r="AE418" s="830" t="s">
        <v>34</v>
      </c>
      <c r="AF418" s="830">
        <f>COUNTIF($G$420:$G$436,"yes")</f>
        <v>13</v>
      </c>
      <c r="AG418" s="834">
        <f>AF418/$AF$423</f>
        <v>0.9285714285714286</v>
      </c>
      <c r="BE418" s="462"/>
    </row>
    <row r="419" spans="1:57" s="441" customFormat="1" ht="20.25" customHeight="1" x14ac:dyDescent="0.3">
      <c r="A419" s="539"/>
      <c r="B419" s="2036">
        <f>abilitya</f>
        <v>1</v>
      </c>
      <c r="C419" s="895" t="str">
        <f>'IV.PPP Suitability'!D31</f>
        <v>Value for Money</v>
      </c>
      <c r="D419" s="895"/>
      <c r="E419" s="916">
        <f>Admin!I26</f>
        <v>0.6</v>
      </c>
      <c r="F419" s="896"/>
      <c r="G419" s="896"/>
      <c r="H419" s="1775">
        <f>COUNTA(H421:H425,H427:H429)</f>
        <v>8</v>
      </c>
      <c r="I419" s="1775">
        <f>SUM(I421:I425)+SUM(I427:I429)</f>
        <v>0</v>
      </c>
      <c r="J419" s="1057">
        <f>COUNTIF(J420:J429,1)/COUNT(J420:J429)</f>
        <v>0</v>
      </c>
      <c r="K419" s="896"/>
      <c r="L419" s="896"/>
      <c r="M419" s="1360">
        <f>MIN(Q419,IF(J419&gt;O303,MIN(O302,SUM(L421:L429)*$S$197),SUM(L421:L429)*$S$197))</f>
        <v>4.9999999999999991</v>
      </c>
      <c r="N419" s="921">
        <f>E419*M419</f>
        <v>2.9999999999999996</v>
      </c>
      <c r="O419" s="896">
        <v>2</v>
      </c>
      <c r="P419" s="896"/>
      <c r="Q419" s="1776">
        <f>VLOOKUP(Q430,$D$147:$F$150,3)</f>
        <v>5</v>
      </c>
      <c r="R419" s="896"/>
      <c r="S419" s="896"/>
      <c r="T419" s="896"/>
      <c r="U419" s="896"/>
      <c r="W419" s="774" t="str">
        <f>C419</f>
        <v>Value for Money</v>
      </c>
      <c r="X419" s="857">
        <f>M419</f>
        <v>4.9999999999999991</v>
      </c>
      <c r="Z419" s="472">
        <f>Z418+1</f>
        <v>2</v>
      </c>
      <c r="AA419" s="461" t="s">
        <v>10</v>
      </c>
      <c r="AB419" s="461">
        <v>1</v>
      </c>
      <c r="AC419" s="440"/>
      <c r="AD419" s="440"/>
      <c r="AE419" s="830" t="s">
        <v>39</v>
      </c>
      <c r="AF419" s="830">
        <f>COUNTIF($G$420:$G$436,"No")</f>
        <v>0</v>
      </c>
      <c r="AG419" s="834">
        <f>AF419/$AF$423</f>
        <v>0</v>
      </c>
      <c r="BE419" s="462"/>
    </row>
    <row r="420" spans="1:57" s="440" customFormat="1" ht="16.2" thickBot="1" x14ac:dyDescent="0.35">
      <c r="B420" s="771" t="str">
        <f>'IV.PPP Suitability'!B32</f>
        <v>A</v>
      </c>
      <c r="C420" s="842" t="str">
        <f>'IV.PPP Suitability'!D32</f>
        <v>Qualitative assessment of Value for Money</v>
      </c>
      <c r="D420" s="842">
        <f>COUNTIF(D421:D425,0.5)</f>
        <v>5</v>
      </c>
      <c r="E420" s="905">
        <v>0.5</v>
      </c>
      <c r="F420" s="910"/>
      <c r="G420" s="910"/>
      <c r="H420" s="910"/>
      <c r="I420" s="910"/>
      <c r="J420" s="910"/>
      <c r="K420" s="911"/>
      <c r="L420" s="911"/>
      <c r="M420" s="910"/>
      <c r="N420" s="910"/>
      <c r="O420" s="781">
        <v>2.5</v>
      </c>
      <c r="P420" s="781"/>
      <c r="Q420" s="1767"/>
      <c r="R420" s="883"/>
      <c r="S420" s="883"/>
      <c r="T420" s="883"/>
      <c r="U420" s="883"/>
      <c r="V420" s="759"/>
      <c r="W420" s="774" t="str">
        <f>C431</f>
        <v>Market appetite</v>
      </c>
      <c r="X420" s="857">
        <f>M431</f>
        <v>5</v>
      </c>
      <c r="Z420" s="476">
        <f>Z419+1</f>
        <v>3</v>
      </c>
      <c r="AA420" s="477" t="s">
        <v>11</v>
      </c>
      <c r="AB420" s="477">
        <f>360-AB418-AB419</f>
        <v>179</v>
      </c>
      <c r="AE420" s="830" t="s">
        <v>61</v>
      </c>
      <c r="AF420" s="830">
        <f>COUNTIF($G$420:$G$436,"Skip")</f>
        <v>0</v>
      </c>
      <c r="AG420" s="834">
        <f>AF420/$AF$423</f>
        <v>0</v>
      </c>
      <c r="AK420" s="441"/>
      <c r="AL420" s="441"/>
      <c r="BE420" s="439"/>
    </row>
    <row r="421" spans="1:57" s="540" customFormat="1" ht="15" customHeight="1" x14ac:dyDescent="0.3">
      <c r="A421" s="440"/>
      <c r="B421" s="771" t="str">
        <f>'IV.PPP Suitability'!B33</f>
        <v>(i)</v>
      </c>
      <c r="C421" s="917" t="str">
        <f>'IV.PPP Suitability'!D33</f>
        <v>Do the project size and contract duration have the potential to maximize private sector efficiency?</v>
      </c>
      <c r="D421" s="1145">
        <f>IF(C421=0,0,$E$420)</f>
        <v>0.5</v>
      </c>
      <c r="E421" s="808">
        <f>D107</f>
        <v>0.1</v>
      </c>
      <c r="F421" s="910" t="str">
        <f>IF(C421=0,NA,'IV.PPP Suitability'!AC33)</f>
        <v>Yes</v>
      </c>
      <c r="G421" s="783" t="str">
        <f t="shared" ref="G421:G429" si="248">VLOOKUP(F421,$B$179:$F$184,4,FALSE)</f>
        <v>Yes</v>
      </c>
      <c r="H421" s="783">
        <f t="shared" ref="H421:H429" si="249">VLOOKUP(G421,$B$179:$C$184,2,FALSE)</f>
        <v>1</v>
      </c>
      <c r="I421" s="793">
        <f t="shared" ref="I421" si="250">IF(G421="N/A",1,0)</f>
        <v>0</v>
      </c>
      <c r="J421" s="793">
        <f t="shared" ref="J421" si="251">IF(G421="Skip",1,0)</f>
        <v>0</v>
      </c>
      <c r="K421" s="794">
        <f>U421</f>
        <v>0.1</v>
      </c>
      <c r="L421" s="800">
        <f t="shared" ref="L421:L425" si="252">K421*H421</f>
        <v>0.1</v>
      </c>
      <c r="M421" s="875"/>
      <c r="N421" s="875"/>
      <c r="O421" s="875"/>
      <c r="P421" s="875"/>
      <c r="Q421" s="1767">
        <f>IF(OR(G421="Yes",G421="N/A"),0,1)</f>
        <v>0</v>
      </c>
      <c r="R421" s="819">
        <f>IF(I421=1,E421,0)</f>
        <v>0</v>
      </c>
      <c r="S421" s="819">
        <f>IF(I421=1,0,E421)</f>
        <v>0.1</v>
      </c>
      <c r="T421" s="860">
        <f>IFERROR(S421/$S$426,0)</f>
        <v>0.2</v>
      </c>
      <c r="U421" s="819">
        <f>S421+(T421*$R$426)</f>
        <v>0.1</v>
      </c>
      <c r="V421" s="869"/>
      <c r="AD421" s="441"/>
      <c r="AE421" s="831" t="s">
        <v>160</v>
      </c>
      <c r="AF421" s="830">
        <f>COUNTIF($G$420:$G$436,"N/A")</f>
        <v>0</v>
      </c>
      <c r="AG421" s="834">
        <f>AF421/$AF$423</f>
        <v>0</v>
      </c>
      <c r="AK421" s="541"/>
      <c r="AL421" s="541"/>
      <c r="BE421" s="542"/>
    </row>
    <row r="422" spans="1:57" s="440" customFormat="1" ht="15" customHeight="1" x14ac:dyDescent="0.3">
      <c r="B422" s="771" t="str">
        <f>'IV.PPP Suitability'!B34</f>
        <v>(ii)</v>
      </c>
      <c r="C422" s="917" t="str">
        <f>'IV.PPP Suitability'!D34</f>
        <v>Does the PPP adequately integrate responsibility for design, build and finance with O&amp;M risks under one party that enables the private sector to derive efficiency gains from better management (than what the public sector could have achieved) of the whole-of-life-cycle costs of the project?</v>
      </c>
      <c r="D422" s="1145">
        <f>IF(C422=0,0,$E$420)</f>
        <v>0.5</v>
      </c>
      <c r="E422" s="808">
        <f>D108</f>
        <v>0.1</v>
      </c>
      <c r="F422" s="910" t="str">
        <f>IF(C422=0,NA,'IV.PPP Suitability'!AC34)</f>
        <v>Yes</v>
      </c>
      <c r="G422" s="783" t="str">
        <f t="shared" si="248"/>
        <v>Yes</v>
      </c>
      <c r="H422" s="783">
        <f t="shared" si="249"/>
        <v>1</v>
      </c>
      <c r="I422" s="793">
        <f t="shared" ref="I422:I425" si="253">IF(G422="N/A",1,0)</f>
        <v>0</v>
      </c>
      <c r="J422" s="793">
        <f t="shared" ref="J422:J425" si="254">IF(G422="Skip",1,0)</f>
        <v>0</v>
      </c>
      <c r="K422" s="794">
        <f>U422</f>
        <v>0.1</v>
      </c>
      <c r="L422" s="800">
        <f t="shared" si="252"/>
        <v>0.1</v>
      </c>
      <c r="M422" s="875"/>
      <c r="N422" s="875"/>
      <c r="O422" s="875"/>
      <c r="P422" s="875"/>
      <c r="Q422" s="1767">
        <f t="shared" ref="Q422:Q425" si="255">IF(OR(G422="Yes",G422="N/A"),0,1)</f>
        <v>0</v>
      </c>
      <c r="R422" s="819">
        <f>IF(I422=1,E422,0)</f>
        <v>0</v>
      </c>
      <c r="S422" s="819">
        <f>IF(I422=1,0,E422)</f>
        <v>0.1</v>
      </c>
      <c r="T422" s="860">
        <f>IFERROR(S422/$S$426,0)</f>
        <v>0.2</v>
      </c>
      <c r="U422" s="819">
        <f>S422+(T422*$R$426)</f>
        <v>0.1</v>
      </c>
      <c r="V422" s="869"/>
      <c r="AE422" s="831" t="s">
        <v>79</v>
      </c>
      <c r="AF422" s="830">
        <f>COUNTIF($G$420:$G$436,"Uncertain")</f>
        <v>0</v>
      </c>
      <c r="AG422" s="834">
        <f>AF422/$AF$423</f>
        <v>0</v>
      </c>
      <c r="AK422" s="441"/>
      <c r="AL422" s="441"/>
      <c r="BE422" s="439"/>
    </row>
    <row r="423" spans="1:57" s="440" customFormat="1" ht="15" customHeight="1" x14ac:dyDescent="0.3">
      <c r="B423" s="771" t="str">
        <f>'IV.PPP Suitability'!B35</f>
        <v>(iii)</v>
      </c>
      <c r="C423" s="917" t="str">
        <f>'IV.PPP Suitability'!D35</f>
        <v xml:space="preserve">Is there potential for the private sector to operate and manage the project more efficiently than the public sector to decrease the project’s whole-of-life-costs? </v>
      </c>
      <c r="D423" s="1145">
        <f>IF(C423=0,0,$E$420)</f>
        <v>0.5</v>
      </c>
      <c r="E423" s="808">
        <f>D109</f>
        <v>0.1</v>
      </c>
      <c r="F423" s="910" t="str">
        <f>IF(C423=0,NA,'IV.PPP Suitability'!AC35)</f>
        <v>Yes</v>
      </c>
      <c r="G423" s="783" t="str">
        <f t="shared" si="248"/>
        <v>Yes</v>
      </c>
      <c r="H423" s="783">
        <f t="shared" si="249"/>
        <v>1</v>
      </c>
      <c r="I423" s="793">
        <f t="shared" si="253"/>
        <v>0</v>
      </c>
      <c r="J423" s="793">
        <f t="shared" si="254"/>
        <v>0</v>
      </c>
      <c r="K423" s="794">
        <f>U423</f>
        <v>0.1</v>
      </c>
      <c r="L423" s="800">
        <f t="shared" si="252"/>
        <v>0.1</v>
      </c>
      <c r="M423" s="798"/>
      <c r="N423" s="785"/>
      <c r="O423" s="785"/>
      <c r="P423" s="785"/>
      <c r="Q423" s="1767">
        <f t="shared" si="255"/>
        <v>0</v>
      </c>
      <c r="R423" s="819">
        <f>IF(I423=1,E423,0)</f>
        <v>0</v>
      </c>
      <c r="S423" s="819">
        <f>IF(I423=1,0,E423)</f>
        <v>0.1</v>
      </c>
      <c r="T423" s="860">
        <f>IFERROR(S423/$S$426,0)</f>
        <v>0.2</v>
      </c>
      <c r="U423" s="819">
        <f>S423+(T423*$R$426)</f>
        <v>0.1</v>
      </c>
      <c r="V423" s="451"/>
      <c r="AE423" s="831" t="s">
        <v>220</v>
      </c>
      <c r="AF423" s="832">
        <f>COUNT(H420:H436)</f>
        <v>14</v>
      </c>
      <c r="AG423" s="780"/>
      <c r="AK423" s="441"/>
      <c r="AL423" s="441"/>
      <c r="BE423" s="439"/>
    </row>
    <row r="424" spans="1:57" s="440" customFormat="1" ht="15" customHeight="1" x14ac:dyDescent="0.3">
      <c r="B424" s="771" t="str">
        <f>'IV.PPP Suitability'!B36</f>
        <v>(iv)</v>
      </c>
      <c r="C424" s="917" t="str">
        <f>'IV.PPP Suitability'!D36</f>
        <v>Is there potential for a private operator to generate higher revenues than the public sector would have through better utilization of the project assets?</v>
      </c>
      <c r="D424" s="1145">
        <f>IF(C424=0,0,$E$420)</f>
        <v>0.5</v>
      </c>
      <c r="E424" s="808">
        <f>D110</f>
        <v>0.1</v>
      </c>
      <c r="F424" s="910" t="str">
        <f>IF(C424=0,NA,'IV.PPP Suitability'!AC36)</f>
        <v>Yes</v>
      </c>
      <c r="G424" s="783" t="str">
        <f t="shared" si="248"/>
        <v>Yes</v>
      </c>
      <c r="H424" s="783">
        <f t="shared" si="249"/>
        <v>1</v>
      </c>
      <c r="I424" s="793">
        <f t="shared" si="253"/>
        <v>0</v>
      </c>
      <c r="J424" s="793">
        <f t="shared" si="254"/>
        <v>0</v>
      </c>
      <c r="K424" s="794">
        <f>U424</f>
        <v>0.1</v>
      </c>
      <c r="L424" s="800">
        <f t="shared" si="252"/>
        <v>0.1</v>
      </c>
      <c r="M424" s="798"/>
      <c r="N424" s="798"/>
      <c r="O424" s="798"/>
      <c r="P424" s="798"/>
      <c r="Q424" s="1767">
        <f t="shared" si="255"/>
        <v>0</v>
      </c>
      <c r="R424" s="819">
        <f>IF(I424=1,E424,0)</f>
        <v>0</v>
      </c>
      <c r="S424" s="819">
        <f>IF(I424=1,0,E424)</f>
        <v>0.1</v>
      </c>
      <c r="T424" s="860">
        <f>IFERROR(S424/$S$426,0)</f>
        <v>0.2</v>
      </c>
      <c r="U424" s="819">
        <f>S424+(T424*$R$426)</f>
        <v>0.1</v>
      </c>
      <c r="V424" s="441"/>
      <c r="AK424" s="441"/>
      <c r="AL424" s="441"/>
      <c r="BE424" s="439"/>
    </row>
    <row r="425" spans="1:57" s="440" customFormat="1" ht="15" customHeight="1" x14ac:dyDescent="0.3">
      <c r="B425" s="771" t="str">
        <f>'IV.PPP Suitability'!B37</f>
        <v>(v)</v>
      </c>
      <c r="C425" s="917" t="str">
        <f>'IV.PPP Suitability'!D37</f>
        <v xml:space="preserve">Are payments to the private sector linked to performance and based on easily measurable and quantifiable outputs? </v>
      </c>
      <c r="D425" s="1145">
        <f>IF(C425=0,0,$E$420)</f>
        <v>0.5</v>
      </c>
      <c r="E425" s="808">
        <f>D111</f>
        <v>0.1</v>
      </c>
      <c r="F425" s="910" t="str">
        <f>IF(C425=0,NA,'IV.PPP Suitability'!AC37)</f>
        <v>Yes</v>
      </c>
      <c r="G425" s="783" t="str">
        <f t="shared" si="248"/>
        <v>Yes</v>
      </c>
      <c r="H425" s="783">
        <f t="shared" si="249"/>
        <v>1</v>
      </c>
      <c r="I425" s="793">
        <f t="shared" si="253"/>
        <v>0</v>
      </c>
      <c r="J425" s="793">
        <f t="shared" si="254"/>
        <v>0</v>
      </c>
      <c r="K425" s="794">
        <f>U425</f>
        <v>0.1</v>
      </c>
      <c r="L425" s="800">
        <f t="shared" si="252"/>
        <v>0.1</v>
      </c>
      <c r="M425" s="798"/>
      <c r="N425" s="798"/>
      <c r="O425" s="798"/>
      <c r="P425" s="798"/>
      <c r="Q425" s="1767">
        <f t="shared" si="255"/>
        <v>0</v>
      </c>
      <c r="R425" s="819">
        <f>IF(I425=1,E425,0)</f>
        <v>0</v>
      </c>
      <c r="S425" s="819">
        <f>IF(I425=1,0,E425)</f>
        <v>0.1</v>
      </c>
      <c r="T425" s="860">
        <f>IFERROR(S425/$S$426,0)</f>
        <v>0.2</v>
      </c>
      <c r="U425" s="819">
        <f>S425+(T425*$R$426)</f>
        <v>0.1</v>
      </c>
      <c r="V425" s="441"/>
      <c r="AE425" s="739" t="str">
        <f>'0.Basic Project Data'!D38</f>
        <v>Value for Money from the project</v>
      </c>
      <c r="AF425" s="1774">
        <f>'0.Basic Project Data'!H38</f>
        <v>0</v>
      </c>
      <c r="AK425" s="441"/>
      <c r="AL425" s="441"/>
      <c r="BE425" s="439"/>
    </row>
    <row r="426" spans="1:57" s="440" customFormat="1" ht="15" customHeight="1" x14ac:dyDescent="0.3">
      <c r="B426" s="771" t="str">
        <f>'IV.PPP Suitability'!B38</f>
        <v>B</v>
      </c>
      <c r="C426" s="842" t="str">
        <f>'IV.PPP Suitability'!D38</f>
        <v>Quantitative assessment of Value for Money</v>
      </c>
      <c r="D426" s="842">
        <f>COUNTIF(D427:D429,0.5)</f>
        <v>3</v>
      </c>
      <c r="E426" s="905">
        <v>0.5</v>
      </c>
      <c r="F426" s="912"/>
      <c r="G426" s="912"/>
      <c r="H426" s="798"/>
      <c r="I426" s="798"/>
      <c r="J426" s="798"/>
      <c r="K426" s="798"/>
      <c r="L426" s="798"/>
      <c r="M426" s="798"/>
      <c r="N426" s="798"/>
      <c r="O426" s="798"/>
      <c r="P426" s="798"/>
      <c r="R426" s="920">
        <f>SUM(R421:R425)</f>
        <v>0</v>
      </c>
      <c r="S426" s="920">
        <f>SUM(S421:S425)</f>
        <v>0.5</v>
      </c>
      <c r="T426" s="920">
        <f>SUM(T421:T425)</f>
        <v>1</v>
      </c>
      <c r="U426" s="920">
        <f>SUM(U421:U425)</f>
        <v>0.5</v>
      </c>
      <c r="V426" s="441"/>
      <c r="AE426" s="739" t="str">
        <f>'0.Basic Project Data'!D39</f>
        <v>Threshold Value for Money</v>
      </c>
      <c r="AF426" s="1774">
        <f>'0.Basic Project Data'!H39</f>
        <v>0</v>
      </c>
      <c r="AK426" s="441"/>
      <c r="AL426" s="441"/>
      <c r="BE426" s="439"/>
    </row>
    <row r="427" spans="1:57" s="440" customFormat="1" ht="15" customHeight="1" x14ac:dyDescent="0.3">
      <c r="B427" s="771" t="str">
        <f>'IV.PPP Suitability'!B39</f>
        <v>(i)</v>
      </c>
      <c r="C427" s="917" t="str">
        <f>'IV.PPP Suitability'!D39</f>
        <v>Are the modeling assumptions backed by historical or empirical data?</v>
      </c>
      <c r="D427" s="1798">
        <f>IF(C427=0,0,$E$426)</f>
        <v>0.5</v>
      </c>
      <c r="E427" s="808">
        <f>D112</f>
        <v>0.16666666666666666</v>
      </c>
      <c r="F427" s="910" t="str">
        <f>IF(C427=0,NA,'IV.PPP Suitability'!AC39)</f>
        <v>Yes</v>
      </c>
      <c r="G427" s="783" t="str">
        <f t="shared" si="248"/>
        <v>Yes</v>
      </c>
      <c r="H427" s="783">
        <f t="shared" si="249"/>
        <v>1</v>
      </c>
      <c r="I427" s="793">
        <f t="shared" ref="I427:I429" si="256">IF(G427="N/A",1,0)</f>
        <v>0</v>
      </c>
      <c r="J427" s="793">
        <f t="shared" ref="J427:J429" si="257">IF(G427="Skip",1,0)</f>
        <v>0</v>
      </c>
      <c r="K427" s="794">
        <f>U427</f>
        <v>0.16666666666666666</v>
      </c>
      <c r="L427" s="800">
        <f t="shared" ref="L427:L429" si="258">K427*H427</f>
        <v>0.16666666666666666</v>
      </c>
      <c r="M427" s="798"/>
      <c r="N427" s="798"/>
      <c r="O427" s="798"/>
      <c r="P427" s="798"/>
      <c r="Q427" s="1767">
        <f t="shared" ref="Q427:Q429" si="259">IF(OR(G427="Yes",G427="N/A"),0,1)</f>
        <v>0</v>
      </c>
      <c r="R427" s="819">
        <f>IF(I427=1,E427,0)</f>
        <v>0</v>
      </c>
      <c r="S427" s="819">
        <f>IF(I427=1,0,E427)</f>
        <v>0.16666666666666666</v>
      </c>
      <c r="T427" s="860">
        <f>IFERROR(S427/$S$430,0)</f>
        <v>0.33333333333333331</v>
      </c>
      <c r="U427" s="819">
        <f>S427+(T427*$R$430)</f>
        <v>0.16666666666666666</v>
      </c>
      <c r="V427" s="441"/>
      <c r="AE427" s="739" t="s">
        <v>448</v>
      </c>
      <c r="AF427" s="740">
        <f>IF(OR(AND(AF425&lt;=0,AF426&lt;=0),AF426&lt;=0,ISERROR(AF425/AF426)),0,IF(AF425&gt;AF426,1,0))</f>
        <v>0</v>
      </c>
      <c r="AK427" s="441"/>
      <c r="AL427" s="441"/>
      <c r="BE427" s="439"/>
    </row>
    <row r="428" spans="1:57" s="440" customFormat="1" ht="15" customHeight="1" x14ac:dyDescent="0.3">
      <c r="B428" s="771" t="str">
        <f>'IV.PPP Suitability'!B40</f>
        <v>(ii)</v>
      </c>
      <c r="C428" s="917" t="str">
        <f>'IV.PPP Suitability'!D40</f>
        <v>Is the value for money (VFM) for the project greater than the threshold VFM requirement?</v>
      </c>
      <c r="D428" s="1798">
        <f t="shared" ref="D428:D429" si="260">IF(C428=0,0,$E$426)</f>
        <v>0.5</v>
      </c>
      <c r="E428" s="808">
        <f>D113</f>
        <v>0.16666666666666666</v>
      </c>
      <c r="F428" s="910" t="str">
        <f>IF(C428=0,NA,'IV.PPP Suitability'!AC40)</f>
        <v>Yes</v>
      </c>
      <c r="G428" s="783" t="str">
        <f t="shared" si="248"/>
        <v>Yes</v>
      </c>
      <c r="H428" s="783">
        <f t="shared" si="249"/>
        <v>1</v>
      </c>
      <c r="I428" s="793">
        <f t="shared" si="256"/>
        <v>0</v>
      </c>
      <c r="J428" s="793">
        <f t="shared" si="257"/>
        <v>0</v>
      </c>
      <c r="K428" s="794">
        <f>U428</f>
        <v>0.16666666666666666</v>
      </c>
      <c r="L428" s="800">
        <f t="shared" si="258"/>
        <v>0.16666666666666666</v>
      </c>
      <c r="M428" s="798"/>
      <c r="N428" s="798"/>
      <c r="O428" s="798"/>
      <c r="P428" s="798"/>
      <c r="Q428" s="1767">
        <f t="shared" si="259"/>
        <v>0</v>
      </c>
      <c r="R428" s="819">
        <f>IF(I428=1,E428,0)</f>
        <v>0</v>
      </c>
      <c r="S428" s="819">
        <f>IF(I428=1,0,E428)</f>
        <v>0.16666666666666666</v>
      </c>
      <c r="T428" s="860">
        <f>IFERROR(S428/$S$430,0)</f>
        <v>0.33333333333333331</v>
      </c>
      <c r="U428" s="819">
        <f>S428+(T428*$R$430)</f>
        <v>0.16666666666666666</v>
      </c>
      <c r="V428" s="441"/>
      <c r="AK428" s="441"/>
      <c r="AL428" s="441"/>
      <c r="BE428" s="439"/>
    </row>
    <row r="429" spans="1:57" s="440" customFormat="1" ht="15" customHeight="1" x14ac:dyDescent="0.3">
      <c r="B429" s="771" t="str">
        <f>'IV.PPP Suitability'!B41</f>
        <v>(iii)</v>
      </c>
      <c r="C429" s="917" t="str">
        <f>IF(AND('0.Basic Project Data'!H38&gt;0,'0.Basic Project Data'!H39&gt;0),"Is the VFM greater than threshold VFM?",'IV.PPP Suitability'!D41)</f>
        <v>Will the VFM for the project remain greater than the threshold rate in the stress (or low) case scenario?</v>
      </c>
      <c r="D429" s="1798">
        <f t="shared" si="260"/>
        <v>0.5</v>
      </c>
      <c r="E429" s="808">
        <f>D114</f>
        <v>0.16666666666666666</v>
      </c>
      <c r="F429" s="910" t="str">
        <f>IF(C429=0,NA,IF(AF427=1,Yes,'IV.PPP Suitability'!AC41))</f>
        <v>Yes</v>
      </c>
      <c r="G429" s="783" t="str">
        <f t="shared" si="248"/>
        <v>Yes</v>
      </c>
      <c r="H429" s="783">
        <f t="shared" si="249"/>
        <v>1</v>
      </c>
      <c r="I429" s="793">
        <f t="shared" si="256"/>
        <v>0</v>
      </c>
      <c r="J429" s="793">
        <f t="shared" si="257"/>
        <v>0</v>
      </c>
      <c r="K429" s="794">
        <f>U429</f>
        <v>0.16666666666666666</v>
      </c>
      <c r="L429" s="800">
        <f t="shared" si="258"/>
        <v>0.16666666666666666</v>
      </c>
      <c r="M429" s="798"/>
      <c r="N429" s="798"/>
      <c r="O429" s="798"/>
      <c r="P429" s="798"/>
      <c r="Q429" s="1767">
        <f t="shared" si="259"/>
        <v>0</v>
      </c>
      <c r="R429" s="819">
        <f>IF(I429=1,E429,0)</f>
        <v>0</v>
      </c>
      <c r="S429" s="819">
        <f>IF(I429=1,0,E429)</f>
        <v>0.16666666666666666</v>
      </c>
      <c r="T429" s="860">
        <f>IFERROR(S429/$S$430,0)</f>
        <v>0.33333333333333331</v>
      </c>
      <c r="U429" s="819">
        <f>S429+(T429*$R$430)</f>
        <v>0.16666666666666666</v>
      </c>
      <c r="V429" s="441"/>
      <c r="AK429" s="441"/>
      <c r="AL429" s="441"/>
      <c r="BE429" s="439"/>
    </row>
    <row r="430" spans="1:57" s="440" customFormat="1" ht="15" customHeight="1" x14ac:dyDescent="0.3">
      <c r="B430" s="842"/>
      <c r="C430" s="842"/>
      <c r="D430" s="842"/>
      <c r="E430" s="831"/>
      <c r="F430" s="912"/>
      <c r="G430" s="912"/>
      <c r="H430" s="798"/>
      <c r="I430" s="875"/>
      <c r="J430" s="874"/>
      <c r="K430" s="875"/>
      <c r="L430" s="785"/>
      <c r="M430" s="798"/>
      <c r="N430" s="785"/>
      <c r="O430" s="875"/>
      <c r="P430" s="875"/>
      <c r="Q430" s="1766">
        <f>IF(ISERROR(SUM(Q421:Q429)/(H419-I419)),0,SUM(Q421:Q429)/(H419-I419))</f>
        <v>0</v>
      </c>
      <c r="R430" s="919">
        <f>SUM(R427:R429)</f>
        <v>0</v>
      </c>
      <c r="S430" s="919">
        <f t="shared" ref="S430:U430" si="261">SUM(S427:S429)</f>
        <v>0.5</v>
      </c>
      <c r="T430" s="919">
        <f t="shared" si="261"/>
        <v>1</v>
      </c>
      <c r="U430" s="919">
        <f t="shared" si="261"/>
        <v>0.5</v>
      </c>
      <c r="V430" s="451"/>
      <c r="AK430" s="441"/>
      <c r="AL430" s="441"/>
      <c r="BE430" s="439"/>
    </row>
    <row r="431" spans="1:57" s="440" customFormat="1" ht="15" customHeight="1" x14ac:dyDescent="0.3">
      <c r="B431" s="2036">
        <f>'IV.PPP Suitability'!B43</f>
        <v>2</v>
      </c>
      <c r="C431" s="895" t="str">
        <f>'IV.PPP Suitability'!D43</f>
        <v>Market appetite</v>
      </c>
      <c r="D431" s="895">
        <f>COUNTIF(D432:D436,1)</f>
        <v>5</v>
      </c>
      <c r="E431" s="916">
        <f>Admin!I27</f>
        <v>0.4</v>
      </c>
      <c r="F431" s="913"/>
      <c r="G431" s="913"/>
      <c r="H431" s="1775">
        <f>COUNTA(H432:H436)</f>
        <v>5</v>
      </c>
      <c r="I431" s="1775">
        <f>SUM(I432:I436)</f>
        <v>0</v>
      </c>
      <c r="J431" s="1057">
        <f>COUNTIF(J432:J436,1)/COUNT(J432:J436)</f>
        <v>0</v>
      </c>
      <c r="K431" s="903"/>
      <c r="L431" s="903"/>
      <c r="M431" s="1360">
        <f>MIN(Q431,IF(J431&gt;O303,MIN(O302,SUM(L432:L436)*$S$197),SUM(L432:L436)*$S$197))</f>
        <v>5</v>
      </c>
      <c r="N431" s="921">
        <f>E431*M431</f>
        <v>2</v>
      </c>
      <c r="O431" s="896">
        <v>2</v>
      </c>
      <c r="P431" s="902"/>
      <c r="Q431" s="1776">
        <f>VLOOKUP(Q437,$D$147:$F$150,3)</f>
        <v>5</v>
      </c>
      <c r="R431" s="904"/>
      <c r="S431" s="904"/>
      <c r="T431" s="904"/>
      <c r="U431" s="904"/>
      <c r="V431" s="441"/>
      <c r="AK431" s="441"/>
      <c r="AL431" s="441"/>
      <c r="BE431" s="439"/>
    </row>
    <row r="432" spans="1:57" s="440" customFormat="1" ht="15" customHeight="1" x14ac:dyDescent="0.3">
      <c r="B432" s="771" t="str">
        <f>'IV.PPP Suitability'!B44</f>
        <v>(i)</v>
      </c>
      <c r="C432" s="917" t="str">
        <f>'IV.PPP Suitability'!D44</f>
        <v>Is there a favorable response expected from the private sector towards the project? For example, as gauged by the contracting agency through preliminary market consultations or similar investor interactions.</v>
      </c>
      <c r="D432" s="1799">
        <f t="shared" ref="D432:D436" si="262">IF(C432=0,0,1)</f>
        <v>1</v>
      </c>
      <c r="E432" s="808">
        <f>D115</f>
        <v>0.3</v>
      </c>
      <c r="F432" s="910" t="str">
        <f>IF(C432=0,NA,'IV.PPP Suitability'!AC44)</f>
        <v>Yes</v>
      </c>
      <c r="G432" s="783" t="str">
        <f t="shared" ref="G432:G436" si="263">VLOOKUP(F432,$B$179:$F$184,4,FALSE)</f>
        <v>Yes</v>
      </c>
      <c r="H432" s="783">
        <f t="shared" ref="H432:H436" si="264">VLOOKUP(G432,$B$179:$C$184,2,FALSE)</f>
        <v>1</v>
      </c>
      <c r="I432" s="793">
        <f t="shared" ref="I432:I436" si="265">IF(G432="N/A",1,0)</f>
        <v>0</v>
      </c>
      <c r="J432" s="793">
        <f t="shared" ref="J432:J436" si="266">IF(G432="Skip",1,0)</f>
        <v>0</v>
      </c>
      <c r="K432" s="794">
        <f>U432</f>
        <v>0.3</v>
      </c>
      <c r="L432" s="800">
        <f t="shared" ref="L432:L436" si="267">K432*H432</f>
        <v>0.3</v>
      </c>
      <c r="M432" s="798"/>
      <c r="N432" s="798"/>
      <c r="O432" s="781">
        <v>2.5</v>
      </c>
      <c r="P432" s="798"/>
      <c r="Q432" s="1767">
        <f>IF(OR(G432="Yes",G432="N/A"),0,1)</f>
        <v>0</v>
      </c>
      <c r="R432" s="819">
        <f>IF(I432=1,E432,0)</f>
        <v>0</v>
      </c>
      <c r="S432" s="819">
        <f>IF(I432=1,0,E432)</f>
        <v>0.3</v>
      </c>
      <c r="T432" s="860">
        <f>IFERROR(S432/$S$437,0)</f>
        <v>0.3</v>
      </c>
      <c r="U432" s="819">
        <f>S432+(T432*$R$437)</f>
        <v>0.3</v>
      </c>
      <c r="V432" s="441"/>
      <c r="AK432" s="441"/>
      <c r="AL432" s="441"/>
      <c r="BE432" s="439"/>
    </row>
    <row r="433" spans="1:57" s="440" customFormat="1" ht="15" customHeight="1" x14ac:dyDescent="0.3">
      <c r="B433" s="771" t="str">
        <f>'IV.PPP Suitability'!B45</f>
        <v>(ii)</v>
      </c>
      <c r="C433" s="917" t="str">
        <f>'IV.PPP Suitability'!D45</f>
        <v>Have similar PPP projects been successfully implemented in the past in the country or region?</v>
      </c>
      <c r="D433" s="1799">
        <f t="shared" si="262"/>
        <v>1</v>
      </c>
      <c r="E433" s="808">
        <f>D116</f>
        <v>0.3</v>
      </c>
      <c r="F433" s="910" t="str">
        <f>IF(C433=0,NA,'IV.PPP Suitability'!AC45)</f>
        <v>Yes</v>
      </c>
      <c r="G433" s="783" t="str">
        <f t="shared" si="263"/>
        <v>Yes</v>
      </c>
      <c r="H433" s="783">
        <f t="shared" si="264"/>
        <v>1</v>
      </c>
      <c r="I433" s="793">
        <f t="shared" si="265"/>
        <v>0</v>
      </c>
      <c r="J433" s="793">
        <f t="shared" si="266"/>
        <v>0</v>
      </c>
      <c r="K433" s="794">
        <f>U433</f>
        <v>0.3</v>
      </c>
      <c r="L433" s="800">
        <f t="shared" si="267"/>
        <v>0.3</v>
      </c>
      <c r="M433" s="798"/>
      <c r="N433" s="798"/>
      <c r="O433" s="798"/>
      <c r="P433" s="798"/>
      <c r="Q433" s="1767">
        <f t="shared" ref="Q433:Q436" si="268">IF(OR(G433="Yes",G433="N/A"),0,1)</f>
        <v>0</v>
      </c>
      <c r="R433" s="819">
        <f>IF(I433=1,E433,0)</f>
        <v>0</v>
      </c>
      <c r="S433" s="819">
        <f>IF(I433=1,0,E433)</f>
        <v>0.3</v>
      </c>
      <c r="T433" s="860">
        <f>IFERROR(S433/$S$437,0)</f>
        <v>0.3</v>
      </c>
      <c r="U433" s="819">
        <f>S433+(T433*$R$437)</f>
        <v>0.3</v>
      </c>
      <c r="V433" s="441"/>
      <c r="AK433" s="441"/>
      <c r="AL433" s="441"/>
      <c r="BE433" s="439"/>
    </row>
    <row r="434" spans="1:57" s="440" customFormat="1" ht="15" customHeight="1" x14ac:dyDescent="0.3">
      <c r="B434" s="771" t="str">
        <f>'IV.PPP Suitability'!B46</f>
        <v>(iii)</v>
      </c>
      <c r="C434" s="917" t="str">
        <f>'IV.PPP Suitability'!D46</f>
        <v>Will debt financing be available for the project with a relatively long tenure (more than 7 years) and at a reasonable cost?</v>
      </c>
      <c r="D434" s="1799">
        <f t="shared" si="262"/>
        <v>1</v>
      </c>
      <c r="E434" s="808">
        <f>D117</f>
        <v>0.2</v>
      </c>
      <c r="F434" s="910" t="str">
        <f>IF(C434=0,NA,'IV.PPP Suitability'!AC46)</f>
        <v>Yes</v>
      </c>
      <c r="G434" s="783" t="str">
        <f t="shared" si="263"/>
        <v>Yes</v>
      </c>
      <c r="H434" s="783">
        <f t="shared" si="264"/>
        <v>1</v>
      </c>
      <c r="I434" s="793">
        <f t="shared" si="265"/>
        <v>0</v>
      </c>
      <c r="J434" s="793">
        <f t="shared" si="266"/>
        <v>0</v>
      </c>
      <c r="K434" s="794">
        <f>U434</f>
        <v>0.2</v>
      </c>
      <c r="L434" s="800">
        <f t="shared" si="267"/>
        <v>0.2</v>
      </c>
      <c r="M434" s="798"/>
      <c r="N434" s="798"/>
      <c r="O434" s="798"/>
      <c r="P434" s="798"/>
      <c r="Q434" s="1767">
        <f t="shared" si="268"/>
        <v>0</v>
      </c>
      <c r="R434" s="819">
        <f>IF(I434=1,E434,0)</f>
        <v>0</v>
      </c>
      <c r="S434" s="819">
        <f>IF(I434=1,0,E434)</f>
        <v>0.2</v>
      </c>
      <c r="T434" s="860">
        <f>IFERROR(S434/$S$437,0)</f>
        <v>0.2</v>
      </c>
      <c r="U434" s="819">
        <f>S434+(T434*$R$437)</f>
        <v>0.2</v>
      </c>
      <c r="V434" s="441"/>
      <c r="AK434" s="441"/>
      <c r="AL434" s="441"/>
      <c r="BE434" s="439"/>
    </row>
    <row r="435" spans="1:57" s="540" customFormat="1" ht="15" customHeight="1" x14ac:dyDescent="0.3">
      <c r="A435" s="440"/>
      <c r="B435" s="771" t="str">
        <f>'IV.PPP Suitability'!B47</f>
        <v>(iv)</v>
      </c>
      <c r="C435" s="917" t="str">
        <f>'IV.PPP Suitability'!D47</f>
        <v>Is the project eligible for government funding support?</v>
      </c>
      <c r="D435" s="1799">
        <f t="shared" si="262"/>
        <v>1</v>
      </c>
      <c r="E435" s="808">
        <f>D118</f>
        <v>0.1</v>
      </c>
      <c r="F435" s="910" t="str">
        <f>IF(C435=0,NA,'IV.PPP Suitability'!AC47)</f>
        <v>Yes</v>
      </c>
      <c r="G435" s="783" t="str">
        <f t="shared" si="263"/>
        <v>Yes</v>
      </c>
      <c r="H435" s="783">
        <f t="shared" si="264"/>
        <v>1</v>
      </c>
      <c r="I435" s="793">
        <f t="shared" si="265"/>
        <v>0</v>
      </c>
      <c r="J435" s="793">
        <f t="shared" si="266"/>
        <v>0</v>
      </c>
      <c r="K435" s="794">
        <f>U435</f>
        <v>0.1</v>
      </c>
      <c r="L435" s="800">
        <f t="shared" si="267"/>
        <v>0.1</v>
      </c>
      <c r="M435" s="875"/>
      <c r="N435" s="875"/>
      <c r="O435" s="875"/>
      <c r="P435" s="875"/>
      <c r="Q435" s="1767">
        <f t="shared" si="268"/>
        <v>0</v>
      </c>
      <c r="R435" s="819">
        <f>IF(I435=1,E435,0)</f>
        <v>0</v>
      </c>
      <c r="S435" s="819">
        <f>IF(I435=1,0,E435)</f>
        <v>0.1</v>
      </c>
      <c r="T435" s="860">
        <f>IFERROR(S435/$S$437,0)</f>
        <v>0.1</v>
      </c>
      <c r="U435" s="819">
        <f>S435+(T435*$R$437)</f>
        <v>0.1</v>
      </c>
      <c r="V435" s="869"/>
      <c r="AK435" s="541"/>
      <c r="AL435" s="541"/>
      <c r="BE435" s="542"/>
    </row>
    <row r="436" spans="1:57" s="440" customFormat="1" ht="15" customHeight="1" x14ac:dyDescent="0.3">
      <c r="B436" s="771" t="str">
        <f>'IV.PPP Suitability'!B48</f>
        <v>(v)</v>
      </c>
      <c r="C436" s="917" t="str">
        <f>'IV.PPP Suitability'!D48</f>
        <v>Is the project eligible for funding/ guarantees from  multilateral/donor agencies?</v>
      </c>
      <c r="D436" s="1799">
        <f t="shared" si="262"/>
        <v>1</v>
      </c>
      <c r="E436" s="808">
        <f>D119</f>
        <v>0.1</v>
      </c>
      <c r="F436" s="910" t="str">
        <f>IF(C436=0,NA,'IV.PPP Suitability'!AC48)</f>
        <v>Yes</v>
      </c>
      <c r="G436" s="783" t="str">
        <f t="shared" si="263"/>
        <v>Yes</v>
      </c>
      <c r="H436" s="783">
        <f t="shared" si="264"/>
        <v>1</v>
      </c>
      <c r="I436" s="793">
        <f t="shared" si="265"/>
        <v>0</v>
      </c>
      <c r="J436" s="793">
        <f t="shared" si="266"/>
        <v>0</v>
      </c>
      <c r="K436" s="794">
        <f>U436</f>
        <v>0.1</v>
      </c>
      <c r="L436" s="800">
        <f t="shared" si="267"/>
        <v>0.1</v>
      </c>
      <c r="M436" s="875"/>
      <c r="N436" s="875"/>
      <c r="O436" s="875"/>
      <c r="P436" s="875"/>
      <c r="Q436" s="1767">
        <f t="shared" si="268"/>
        <v>0</v>
      </c>
      <c r="R436" s="819">
        <f>IF(I436=1,E436,0)</f>
        <v>0</v>
      </c>
      <c r="S436" s="819">
        <f>IF(I436=1,0,E436)</f>
        <v>0.1</v>
      </c>
      <c r="T436" s="860">
        <f>IFERROR(S436/$S$437,0)</f>
        <v>0.1</v>
      </c>
      <c r="U436" s="819">
        <f>S436+(T436*$R$437)</f>
        <v>0.1</v>
      </c>
      <c r="V436" s="869"/>
      <c r="AK436" s="441"/>
      <c r="AL436" s="441"/>
      <c r="BE436" s="439"/>
    </row>
    <row r="437" spans="1:57" s="440" customFormat="1" ht="15" customHeight="1" x14ac:dyDescent="0.3">
      <c r="B437" s="439"/>
      <c r="C437" s="856" t="s">
        <v>560</v>
      </c>
      <c r="D437" s="856"/>
      <c r="E437" s="1785">
        <f>IF(OR(AND(Admin!$L$69&lt;$M$431,$M$431&lt;=Admin!$L$68),AND(Admin!$L$69&lt;$M$419,$M$419&lt;=Admin!$L$68)),MIN(Admin!$N$68,$N$431+$N$419),IF(OR(Admin!$L$69&gt;=$M$431,Admin!$L$69&gt;=$M$419),MIN(Admin!$N$69,$N$431+$N$419),$N$431+$N$419))</f>
        <v>5</v>
      </c>
      <c r="F437" s="879" t="str">
        <f>VLOOKUP($E$437,$J$198:$L$207,3,TRUE)</f>
        <v>Very Strong</v>
      </c>
      <c r="G437" s="879"/>
      <c r="H437" s="455"/>
      <c r="I437" s="455"/>
      <c r="J437" s="439"/>
      <c r="K437" s="439"/>
      <c r="L437" s="455"/>
      <c r="M437" s="455"/>
      <c r="N437" s="455"/>
      <c r="O437" s="455"/>
      <c r="P437" s="455"/>
      <c r="Q437" s="1766">
        <f>IF(ISERROR(SUM(Q432:Q436)/(H431-I431)),0,SUM(Q432:Q436)/(H431-I431))</f>
        <v>0</v>
      </c>
      <c r="R437" s="923">
        <f>SUM(R432:R436)</f>
        <v>0</v>
      </c>
      <c r="S437" s="923">
        <f t="shared" ref="S437:U437" si="269">SUM(S432:S436)</f>
        <v>1</v>
      </c>
      <c r="T437" s="923">
        <f t="shared" si="269"/>
        <v>1</v>
      </c>
      <c r="U437" s="923">
        <f t="shared" si="269"/>
        <v>1</v>
      </c>
      <c r="V437" s="441"/>
      <c r="W437" s="441"/>
      <c r="X437" s="441"/>
      <c r="Y437" s="441"/>
      <c r="Z437" s="441"/>
      <c r="AA437" s="441"/>
      <c r="AK437" s="441"/>
      <c r="AL437" s="441"/>
      <c r="BE437" s="439"/>
    </row>
    <row r="438" spans="1:57" s="440" customFormat="1" ht="15" customHeight="1" x14ac:dyDescent="0.3">
      <c r="G438" s="524"/>
      <c r="H438" s="525"/>
      <c r="K438" s="543"/>
      <c r="P438" s="513"/>
      <c r="AK438" s="441"/>
      <c r="AL438" s="441"/>
      <c r="BE438" s="439"/>
    </row>
    <row r="439" spans="1:57" s="551" customFormat="1" ht="25.8" x14ac:dyDescent="0.5">
      <c r="A439" s="827" t="s">
        <v>508</v>
      </c>
      <c r="B439" s="544"/>
      <c r="C439" s="545"/>
      <c r="D439" s="936" t="s">
        <v>367</v>
      </c>
      <c r="E439" s="936"/>
      <c r="F439" s="936"/>
      <c r="G439" s="547"/>
      <c r="H439" s="547"/>
      <c r="I439" s="936"/>
      <c r="J439" s="936"/>
      <c r="K439" s="936"/>
      <c r="L439" s="936"/>
      <c r="M439" s="936"/>
      <c r="N439" s="936"/>
      <c r="O439" s="936"/>
      <c r="P439" s="548"/>
      <c r="Q439" s="548"/>
      <c r="R439" s="936" t="s">
        <v>456</v>
      </c>
      <c r="S439" s="936"/>
      <c r="T439" s="936"/>
      <c r="U439" s="936"/>
      <c r="V439" s="936"/>
      <c r="W439" s="936" t="s">
        <v>368</v>
      </c>
      <c r="X439" s="936"/>
      <c r="Y439" s="936"/>
      <c r="Z439" s="936"/>
      <c r="AA439" s="936"/>
      <c r="AB439" s="936"/>
      <c r="AC439" s="936"/>
      <c r="AD439" s="936"/>
      <c r="AE439" s="936" t="s">
        <v>369</v>
      </c>
      <c r="AF439" s="546"/>
      <c r="AG439" s="546"/>
      <c r="AH439" s="546"/>
      <c r="AI439" s="546"/>
      <c r="AJ439" s="546"/>
      <c r="AK439" s="549"/>
      <c r="AL439" s="549"/>
      <c r="AM439" s="546"/>
      <c r="AN439" s="546"/>
      <c r="AO439" s="546"/>
      <c r="AP439" s="546"/>
      <c r="AQ439" s="546"/>
      <c r="AR439" s="546"/>
      <c r="AS439" s="546"/>
      <c r="AT439" s="546"/>
      <c r="AU439" s="546"/>
      <c r="AV439" s="546"/>
      <c r="AW439" s="546"/>
      <c r="AX439" s="546"/>
      <c r="AY439" s="546"/>
      <c r="AZ439" s="546"/>
      <c r="BA439" s="546"/>
      <c r="BB439" s="546"/>
      <c r="BC439" s="546"/>
      <c r="BD439" s="546"/>
      <c r="BE439" s="550"/>
    </row>
    <row r="440" spans="1:57" s="440" customFormat="1" ht="15" customHeight="1" thickBot="1" x14ac:dyDescent="0.35">
      <c r="B440" s="522"/>
      <c r="C440" s="523"/>
      <c r="G440" s="524"/>
      <c r="H440" s="525"/>
      <c r="P440" s="513"/>
      <c r="AK440" s="441"/>
      <c r="AL440" s="441"/>
      <c r="BE440" s="439"/>
    </row>
    <row r="441" spans="1:57" s="440" customFormat="1" ht="15" customHeight="1" x14ac:dyDescent="0.3">
      <c r="C441" s="735" t="str">
        <f>'0.Basic Project Data'!D25</f>
        <v>Is government support required for the project?</v>
      </c>
      <c r="D441" s="734" t="str">
        <f>'0.Basic Project Data'!H25</f>
        <v>Yes</v>
      </c>
      <c r="E441" s="452">
        <f>IF(D441="Yes",1,0)</f>
        <v>1</v>
      </c>
      <c r="G441" s="524"/>
      <c r="H441" s="525"/>
      <c r="P441" s="513"/>
      <c r="W441" s="856"/>
      <c r="X441" s="520"/>
      <c r="Z441" s="467" t="s">
        <v>13</v>
      </c>
      <c r="AA441" s="468" t="s">
        <v>8</v>
      </c>
      <c r="AB441" s="469"/>
      <c r="AE441" s="454" t="s">
        <v>370</v>
      </c>
      <c r="AF441" s="454" t="s">
        <v>371</v>
      </c>
      <c r="AG441" s="454" t="s">
        <v>282</v>
      </c>
      <c r="AK441" s="441"/>
      <c r="AL441" s="441"/>
      <c r="BE441" s="439"/>
    </row>
    <row r="442" spans="1:57" s="440" customFormat="1" ht="15" customHeight="1" x14ac:dyDescent="0.3">
      <c r="B442" s="522"/>
      <c r="C442" s="523"/>
      <c r="G442" s="524"/>
      <c r="H442" s="525"/>
      <c r="P442" s="513"/>
      <c r="W442" s="520" t="s">
        <v>47</v>
      </c>
      <c r="X442" s="520" t="s">
        <v>373</v>
      </c>
      <c r="Z442" s="472">
        <v>1</v>
      </c>
      <c r="AA442" s="461" t="s">
        <v>9</v>
      </c>
      <c r="AB442" s="497">
        <f>$E$457*180/5</f>
        <v>151.05599999999998</v>
      </c>
      <c r="AE442" s="830" t="s">
        <v>34</v>
      </c>
      <c r="AF442" s="830">
        <f>COUNTIF($G$446:$G$455,"Yes")</f>
        <v>8</v>
      </c>
      <c r="AG442" s="834">
        <f>AF442/$AF$423</f>
        <v>0.5714285714285714</v>
      </c>
      <c r="AK442" s="441"/>
      <c r="AL442" s="441"/>
      <c r="BE442" s="439"/>
    </row>
    <row r="443" spans="1:57" s="440" customFormat="1" ht="33.75" customHeight="1" x14ac:dyDescent="0.3">
      <c r="B443" s="731" t="s">
        <v>31</v>
      </c>
      <c r="C443" s="731" t="s">
        <v>326</v>
      </c>
      <c r="D443" s="731" t="s">
        <v>464</v>
      </c>
      <c r="E443" s="732" t="s">
        <v>279</v>
      </c>
      <c r="F443" s="732" t="s">
        <v>32</v>
      </c>
      <c r="G443" s="732" t="s">
        <v>449</v>
      </c>
      <c r="H443" s="732" t="s">
        <v>355</v>
      </c>
      <c r="I443" s="732" t="s">
        <v>360</v>
      </c>
      <c r="J443" s="732" t="s">
        <v>361</v>
      </c>
      <c r="K443" s="732" t="s">
        <v>359</v>
      </c>
      <c r="L443" s="732" t="s">
        <v>340</v>
      </c>
      <c r="M443" s="732" t="s">
        <v>356</v>
      </c>
      <c r="N443" s="809" t="s">
        <v>365</v>
      </c>
      <c r="O443" s="809" t="s">
        <v>253</v>
      </c>
      <c r="P443" s="809" t="s">
        <v>115</v>
      </c>
      <c r="Q443" s="809" t="str">
        <f>Q274</f>
        <v>Applicable score constraints for cases with extremely poor responses (Negative, Uncertain and/or Skip) Refer cells B147:F149</v>
      </c>
      <c r="R443" s="731" t="s">
        <v>455</v>
      </c>
      <c r="S443" s="731" t="s">
        <v>374</v>
      </c>
      <c r="T443" s="731"/>
      <c r="U443" s="731"/>
      <c r="W443" s="774" t="str">
        <f>C445</f>
        <v>Extent and Nature of Government Fiscal Support</v>
      </c>
      <c r="X443" s="857">
        <f>M445</f>
        <v>5</v>
      </c>
      <c r="Z443" s="472">
        <f>Z442+1</f>
        <v>2</v>
      </c>
      <c r="AA443" s="461" t="s">
        <v>10</v>
      </c>
      <c r="AB443" s="461">
        <v>1</v>
      </c>
      <c r="AE443" s="830" t="s">
        <v>39</v>
      </c>
      <c r="AF443" s="830">
        <f>COUNTIF($G$446:$G$455,"No")</f>
        <v>0</v>
      </c>
      <c r="AG443" s="834">
        <f>AF443/$AF$423</f>
        <v>0</v>
      </c>
      <c r="AK443" s="441"/>
      <c r="AL443" s="441"/>
      <c r="BE443" s="439"/>
    </row>
    <row r="444" spans="1:57" s="440" customFormat="1" ht="15" customHeight="1" thickBot="1" x14ac:dyDescent="0.35">
      <c r="B444" s="767">
        <v>1</v>
      </c>
      <c r="C444" s="768"/>
      <c r="D444" s="768"/>
      <c r="E444" s="768"/>
      <c r="F444" s="768"/>
      <c r="G444" s="768"/>
      <c r="H444" s="768"/>
      <c r="I444" s="768"/>
      <c r="J444" s="769"/>
      <c r="K444" s="769"/>
      <c r="L444" s="768"/>
      <c r="M444" s="770"/>
      <c r="N444" s="770"/>
      <c r="O444" s="809"/>
      <c r="P444" s="809"/>
      <c r="Q444" s="1764"/>
      <c r="R444" s="731" t="s">
        <v>362</v>
      </c>
      <c r="S444" s="731" t="s">
        <v>364</v>
      </c>
      <c r="T444" s="731" t="s">
        <v>338</v>
      </c>
      <c r="U444" s="731" t="s">
        <v>336</v>
      </c>
      <c r="W444" s="774" t="str">
        <f>C451</f>
        <v>Quantification of Fiscal Support</v>
      </c>
      <c r="X444" s="857">
        <f>M451</f>
        <v>3.66</v>
      </c>
      <c r="Z444" s="476">
        <f>Z443+1</f>
        <v>3</v>
      </c>
      <c r="AA444" s="477" t="s">
        <v>11</v>
      </c>
      <c r="AB444" s="477">
        <f>360-AB442-AB443</f>
        <v>207.94400000000002</v>
      </c>
      <c r="AE444" s="830" t="s">
        <v>61</v>
      </c>
      <c r="AF444" s="830">
        <f>COUNTIF($G$446:$G$455,"Skip")</f>
        <v>0</v>
      </c>
      <c r="AG444" s="834">
        <f>IF($D$441=No,0,AF444/$AF$447)</f>
        <v>0</v>
      </c>
      <c r="AK444" s="441"/>
      <c r="AL444" s="441"/>
      <c r="BE444" s="439"/>
    </row>
    <row r="445" spans="1:57" s="440" customFormat="1" ht="15" customHeight="1" x14ac:dyDescent="0.3">
      <c r="B445" s="889">
        <f>'V.Fiscal Affordability'!B33</f>
        <v>1</v>
      </c>
      <c r="C445" s="890" t="str">
        <f>'V.Fiscal Affordability'!E33</f>
        <v>Extent and Nature of Government Fiscal Support</v>
      </c>
      <c r="D445" s="890">
        <f>COUNTIF(D446:D449,1)</f>
        <v>4</v>
      </c>
      <c r="E445" s="918">
        <f>Admin!I29</f>
        <v>0.4</v>
      </c>
      <c r="F445" s="892"/>
      <c r="G445" s="892"/>
      <c r="H445" s="1781">
        <f>COUNTA(H446:H449)</f>
        <v>4</v>
      </c>
      <c r="I445" s="1781">
        <f>SUM(I446:I449)</f>
        <v>0</v>
      </c>
      <c r="J445" s="1058">
        <f>COUNTIF(J446:J449,1)/COUNT(J446:J449)</f>
        <v>0</v>
      </c>
      <c r="K445" s="894"/>
      <c r="L445" s="893"/>
      <c r="M445" s="1360">
        <f>IF('0.Basic Project Data'!H25=No,S197,MIN(Q445,IF(J445&gt;O303,MIN(O302,IF(COUNTIF(F446:F449,"No")&gt;=2,MIN($O$445,SUM(L446:L449)*$S$197),IF(COUNTIF(H446:H449,0.5)&gt;=2,MIN($O$446,SUM(L446:L449)*$S$197),SUM(L446:L449)*$S$197))),IF(COUNTIF(F446:F449,"No")&gt;=2,MIN($O$445,SUM(L446:L449)*$S$197),IF(COUNTIF(H446:H449,0.5)&gt;=2,MIN($O$446,SUM(L446:L449)*$S$197),SUM(L446:L449)*$S$197)))))</f>
        <v>5</v>
      </c>
      <c r="N445" s="914">
        <f>M445*E445</f>
        <v>2</v>
      </c>
      <c r="O445" s="893">
        <v>2</v>
      </c>
      <c r="P445" s="893"/>
      <c r="Q445" s="1782">
        <f>VLOOKUP(Q450,$D$147:$F$150,3)</f>
        <v>5</v>
      </c>
      <c r="R445" s="893"/>
      <c r="S445" s="893"/>
      <c r="T445" s="893"/>
      <c r="U445" s="893"/>
      <c r="AE445" s="831" t="s">
        <v>160</v>
      </c>
      <c r="AF445" s="830">
        <f>COUNTIF($G$446:$G$455,"N/A")</f>
        <v>0</v>
      </c>
      <c r="AG445" s="834">
        <f>IF($D$441=No,0,AF445/$AF$447)</f>
        <v>0</v>
      </c>
      <c r="AK445" s="441"/>
      <c r="AL445" s="441"/>
      <c r="BE445" s="439"/>
    </row>
    <row r="446" spans="1:57" s="440" customFormat="1" ht="15" customHeight="1" x14ac:dyDescent="0.3">
      <c r="B446" s="774" t="str">
        <f>'V.Fiscal Affordability'!B34</f>
        <v>(i)</v>
      </c>
      <c r="C446" s="790" t="str">
        <f>'V.Fiscal Affordability'!E34</f>
        <v xml:space="preserve">Is there a clear rationale for government support that is consistent with applicable laws and government support policies?
</v>
      </c>
      <c r="D446" s="790">
        <f t="shared" ref="D446:D449" si="270">IF(C446=0,0,1)</f>
        <v>1</v>
      </c>
      <c r="E446" s="808">
        <f>D121</f>
        <v>0.25</v>
      </c>
      <c r="F446" s="777" t="str">
        <f>IF(C446=0,NA,'V.Fiscal Affordability'!AB34)</f>
        <v>Yes</v>
      </c>
      <c r="G446" s="783" t="str">
        <f t="shared" ref="G446:G449" si="271">VLOOKUP(F446,$B$179:$F$184,4,FALSE)</f>
        <v>Yes</v>
      </c>
      <c r="H446" s="783">
        <f t="shared" ref="H446:H449" si="272">VLOOKUP(G446,$B$179:$C$184,2,FALSE)</f>
        <v>1</v>
      </c>
      <c r="I446" s="793">
        <f t="shared" ref="I446:I449" si="273">IF(G446="N/A",1,0)</f>
        <v>0</v>
      </c>
      <c r="J446" s="793">
        <f t="shared" ref="J446:J449" si="274">IF(G446="Skip",1,0)</f>
        <v>0</v>
      </c>
      <c r="K446" s="794">
        <f>U446</f>
        <v>0.25</v>
      </c>
      <c r="L446" s="800">
        <f t="shared" ref="L446:L449" si="275">K446*H446</f>
        <v>0.25</v>
      </c>
      <c r="M446" s="886"/>
      <c r="N446" s="777"/>
      <c r="O446" s="777">
        <v>2.5</v>
      </c>
      <c r="P446" s="777"/>
      <c r="Q446" s="1767">
        <f>IF(OR(G446="Yes",G446="N/A"),0,1)</f>
        <v>0</v>
      </c>
      <c r="R446" s="819">
        <f>IF(I446=1,E446,0)</f>
        <v>0</v>
      </c>
      <c r="S446" s="819">
        <f>IF(I446=1,0,E446)</f>
        <v>0.25</v>
      </c>
      <c r="T446" s="860">
        <f>IFERROR(S446/$S$450,0)</f>
        <v>0.25</v>
      </c>
      <c r="U446" s="819">
        <f>S446+(T446*$R$450)</f>
        <v>0.25</v>
      </c>
      <c r="AE446" s="831" t="s">
        <v>79</v>
      </c>
      <c r="AF446" s="830">
        <f>COUNTIF($G$446:$G$455,"Uncertain")</f>
        <v>0</v>
      </c>
      <c r="AG446" s="834">
        <f>IF($D$441=No,0,AF446/$AF$447)</f>
        <v>0</v>
      </c>
      <c r="AK446" s="441"/>
      <c r="AL446" s="441"/>
      <c r="BE446" s="439"/>
    </row>
    <row r="447" spans="1:57" s="440" customFormat="1" ht="15" customHeight="1" x14ac:dyDescent="0.3">
      <c r="B447" s="774" t="str">
        <f>'V.Fiscal Affordability'!B35</f>
        <v>(ii)</v>
      </c>
      <c r="C447" s="790" t="str">
        <f>'V.Fiscal Affordability'!E35</f>
        <v>Is there an assessment of various options to minimize the requirement of government support? Such as options for additional sources of revenue, tariff adjustments, optimizing project scope, and/or adjusting the contract period?</v>
      </c>
      <c r="D447" s="790">
        <f t="shared" si="270"/>
        <v>1</v>
      </c>
      <c r="E447" s="808">
        <f>D122</f>
        <v>0.25</v>
      </c>
      <c r="F447" s="777" t="str">
        <f>IF(C447=0,NA,'V.Fiscal Affordability'!AB35)</f>
        <v>Yes</v>
      </c>
      <c r="G447" s="783" t="str">
        <f t="shared" si="271"/>
        <v>Yes</v>
      </c>
      <c r="H447" s="783">
        <f t="shared" si="272"/>
        <v>1</v>
      </c>
      <c r="I447" s="793">
        <f t="shared" si="273"/>
        <v>0</v>
      </c>
      <c r="J447" s="793">
        <f t="shared" si="274"/>
        <v>0</v>
      </c>
      <c r="K447" s="794">
        <f>U447</f>
        <v>0.25</v>
      </c>
      <c r="L447" s="800">
        <f t="shared" si="275"/>
        <v>0.25</v>
      </c>
      <c r="M447" s="886"/>
      <c r="N447" s="777"/>
      <c r="O447" s="777"/>
      <c r="P447" s="777"/>
      <c r="Q447" s="1767">
        <f t="shared" ref="Q447:Q449" si="276">IF(OR(G447="Yes",G447="N/A"),0,1)</f>
        <v>0</v>
      </c>
      <c r="R447" s="819">
        <f>IF(I447=1,E447,0)</f>
        <v>0</v>
      </c>
      <c r="S447" s="819">
        <f>IF(I447=1,0,E447)</f>
        <v>0.25</v>
      </c>
      <c r="T447" s="860">
        <f>IFERROR(S447/$S$450,0)</f>
        <v>0.25</v>
      </c>
      <c r="U447" s="819">
        <f>S447+(T447*$R$450)</f>
        <v>0.25</v>
      </c>
      <c r="AE447" s="831" t="s">
        <v>220</v>
      </c>
      <c r="AF447" s="832">
        <f>COUNT(H446:H455)</f>
        <v>9</v>
      </c>
      <c r="AG447" s="780"/>
      <c r="AJ447" s="965"/>
      <c r="AK447" s="78"/>
      <c r="AL447" s="78"/>
      <c r="BE447" s="439"/>
    </row>
    <row r="448" spans="1:57" s="440" customFormat="1" ht="15" customHeight="1" x14ac:dyDescent="0.3">
      <c r="B448" s="774" t="str">
        <f>'V.Fiscal Affordability'!B36</f>
        <v>(iii)</v>
      </c>
      <c r="C448" s="790" t="str">
        <f>'V.Fiscal Affordability'!E36</f>
        <v xml:space="preserve">Has the level of government support been benchmarked to comparable projects, at the national level or regional level? </v>
      </c>
      <c r="D448" s="790">
        <f t="shared" si="270"/>
        <v>1</v>
      </c>
      <c r="E448" s="808">
        <f>D123</f>
        <v>0.25</v>
      </c>
      <c r="F448" s="777" t="str">
        <f>IF(C448=0,NA,'V.Fiscal Affordability'!AB36)</f>
        <v>Yes</v>
      </c>
      <c r="G448" s="783" t="str">
        <f t="shared" si="271"/>
        <v>Yes</v>
      </c>
      <c r="H448" s="783">
        <f t="shared" si="272"/>
        <v>1</v>
      </c>
      <c r="I448" s="793">
        <f t="shared" si="273"/>
        <v>0</v>
      </c>
      <c r="J448" s="793">
        <f t="shared" si="274"/>
        <v>0</v>
      </c>
      <c r="K448" s="794">
        <f>U448</f>
        <v>0.25</v>
      </c>
      <c r="L448" s="800">
        <f t="shared" si="275"/>
        <v>0.25</v>
      </c>
      <c r="M448" s="886"/>
      <c r="N448" s="777"/>
      <c r="O448" s="777"/>
      <c r="P448" s="777"/>
      <c r="Q448" s="1767">
        <f>IF(OR(G448="Yes",G448="N/A"),0,1)</f>
        <v>0</v>
      </c>
      <c r="R448" s="819">
        <f>IF(I448=1,E448,0)</f>
        <v>0</v>
      </c>
      <c r="S448" s="819">
        <f>IF(I448=1,0,E448)</f>
        <v>0.25</v>
      </c>
      <c r="T448" s="860">
        <f>IFERROR(S448/$S$450,0)</f>
        <v>0.25</v>
      </c>
      <c r="U448" s="819">
        <f>S448+(T448*$R$450)</f>
        <v>0.25</v>
      </c>
      <c r="BE448" s="439"/>
    </row>
    <row r="449" spans="2:57" s="440" customFormat="1" ht="15" customHeight="1" x14ac:dyDescent="0.3">
      <c r="B449" s="774" t="str">
        <f>'V.Fiscal Affordability'!B37</f>
        <v>(iv)</v>
      </c>
      <c r="C449" s="790" t="str">
        <f>'V.Fiscal Affordability'!E37</f>
        <v>Will there be competitive pressure in market determination of government support?</v>
      </c>
      <c r="D449" s="790">
        <f t="shared" si="270"/>
        <v>1</v>
      </c>
      <c r="E449" s="808">
        <f>D124</f>
        <v>0.25</v>
      </c>
      <c r="F449" s="777" t="str">
        <f>IF(C449=0,NA,'V.Fiscal Affordability'!AB37)</f>
        <v>Yes</v>
      </c>
      <c r="G449" s="783" t="str">
        <f t="shared" si="271"/>
        <v>Yes</v>
      </c>
      <c r="H449" s="783">
        <f t="shared" si="272"/>
        <v>1</v>
      </c>
      <c r="I449" s="793">
        <f t="shared" si="273"/>
        <v>0</v>
      </c>
      <c r="J449" s="793">
        <f t="shared" si="274"/>
        <v>0</v>
      </c>
      <c r="K449" s="794">
        <f>U449</f>
        <v>0.25</v>
      </c>
      <c r="L449" s="800">
        <f t="shared" si="275"/>
        <v>0.25</v>
      </c>
      <c r="M449" s="886"/>
      <c r="N449" s="777"/>
      <c r="O449" s="777"/>
      <c r="P449" s="777"/>
      <c r="Q449" s="1767">
        <f t="shared" si="276"/>
        <v>0</v>
      </c>
      <c r="R449" s="819">
        <f>IF(I449=1,E449,0)</f>
        <v>0</v>
      </c>
      <c r="S449" s="819">
        <f>IF(I449=1,0,E449)</f>
        <v>0.25</v>
      </c>
      <c r="T449" s="860">
        <f>IFERROR(S449/$S$450,0)</f>
        <v>0.25</v>
      </c>
      <c r="U449" s="819">
        <f>S449+(T449*$R$450)</f>
        <v>0.25</v>
      </c>
      <c r="AE449" s="515"/>
      <c r="AF449" s="1014"/>
      <c r="AG449" s="1015" t="s">
        <v>412</v>
      </c>
      <c r="AH449" s="1015"/>
      <c r="AI449" s="1016"/>
      <c r="AJ449" s="1010"/>
      <c r="AK449" s="1010"/>
      <c r="BE449" s="439"/>
    </row>
    <row r="450" spans="2:57" s="440" customFormat="1" ht="15" customHeight="1" x14ac:dyDescent="0.3">
      <c r="B450" s="774"/>
      <c r="C450" s="884"/>
      <c r="D450" s="884"/>
      <c r="E450" s="772"/>
      <c r="F450" s="772"/>
      <c r="G450" s="772"/>
      <c r="H450" s="772"/>
      <c r="I450" s="772"/>
      <c r="J450" s="773"/>
      <c r="K450" s="831"/>
      <c r="L450" s="772"/>
      <c r="M450" s="772"/>
      <c r="N450" s="885"/>
      <c r="O450" s="780"/>
      <c r="P450" s="780"/>
      <c r="Q450" s="1766">
        <f>IF(ISERROR(SUM(Q446:Q449)/(H445-I445)),0,SUM(Q446:Q449)/(H445-I445))</f>
        <v>0</v>
      </c>
      <c r="R450" s="923">
        <f>SUM(R446:R449)</f>
        <v>0</v>
      </c>
      <c r="S450" s="923">
        <f t="shared" ref="S450:U450" si="277">SUM(S446:S449)</f>
        <v>1</v>
      </c>
      <c r="T450" s="923">
        <f t="shared" si="277"/>
        <v>1</v>
      </c>
      <c r="U450" s="923">
        <f t="shared" si="277"/>
        <v>1</v>
      </c>
      <c r="AE450" s="515"/>
      <c r="AF450" s="2491" t="s">
        <v>410</v>
      </c>
      <c r="AG450" s="1106">
        <v>-1</v>
      </c>
      <c r="AH450" s="1097">
        <f>-1%+0.4999%</f>
        <v>-5.0010000000000002E-3</v>
      </c>
      <c r="AI450" s="461" t="s">
        <v>391</v>
      </c>
      <c r="AJ450" s="515"/>
      <c r="AK450" s="515"/>
      <c r="BE450" s="439"/>
    </row>
    <row r="451" spans="2:57" s="440" customFormat="1" ht="15" customHeight="1" x14ac:dyDescent="0.3">
      <c r="B451" s="889">
        <f>'V.Fiscal Affordability'!B39</f>
        <v>2</v>
      </c>
      <c r="C451" s="890" t="str">
        <f>'V.Fiscal Affordability'!E39</f>
        <v>Quantification of Fiscal Support</v>
      </c>
      <c r="D451" s="890">
        <f>COUNTIF(D452:D455,1)</f>
        <v>4</v>
      </c>
      <c r="E451" s="918">
        <f>Admin!I30</f>
        <v>0.6</v>
      </c>
      <c r="F451" s="892"/>
      <c r="G451" s="892"/>
      <c r="H451" s="1781">
        <f>COUNTA(H452:H455)</f>
        <v>4</v>
      </c>
      <c r="I451" s="1781">
        <f>SUM(I452:I455)</f>
        <v>0</v>
      </c>
      <c r="J451" s="1058">
        <f>COUNTIF(J452:J455,1)/COUNT(J452:J455)</f>
        <v>0</v>
      </c>
      <c r="K451" s="894"/>
      <c r="L451" s="891"/>
      <c r="M451" s="1360">
        <f>IF('0.Basic Project Data'!H25=No,S197,MIN(Q451,IF(Z256&gt;0,MIN($AA$256,IF(J451&gt;O303,MIN(O302,IF(COUNTIF(G452:G455,"No")&gt;=2,MIN($O$451,(((1-$AH$472)*SUM(L452:L455)*$S$197)+AH473)),IF(COUNTIF(H452:H455,0.5)&gt;=2,MIN($O$452,((1-$AH$472)*SUM(L452:L455)*$S$197)+AH473),((1-$AH$472)*SUM(L452:L455)*$S$197)+AH473))),IF(COUNTIF(G452:G455,"No")&gt;=2,MIN($O$451,(((1-$AH$472)*SUM(L452:L455)*$S$197)+AH473)),IF(COUNTIF(H452:H455,0.5)&gt;=2,MIN($O$452,((1-$AH$472)*SUM(L452:L455)*$S$197)+AH473),((1-$AH$472)*SUM(L452:L455)*$S$197)+AH473)))),IF(J451&gt;O303,MIN(O302,IF(COUNTIF(G452:G455,"No")&gt;=2,MIN($O$451,(((1-$AH$472)*SUM(L452:L455)*$S$197)+AH473)),IF(COUNTIF(H452:H455,0.5)&gt;=2,MIN($O$452,((1-$AH$472)*SUM(L452:L455)*$S$197)+AH473),((1-$AH$472)*SUM(L452:L455)*$S$197)+AH473))),IF(COUNTIF(G452:G455,"No")&gt;=2,MIN($O$451,(((1-$AH$472)*SUM(L452:L455)*$S$197)+AH473)),IF(COUNTIF(H452:H455,0.5)&gt;=2,MIN($O$452,((1-$AH$472)*SUM(L452:L455)*$S$197)+AH473),((1-$AH$472)*SUM(L452:L455)*$S$197)+AH473))))))</f>
        <v>3.66</v>
      </c>
      <c r="N451" s="914">
        <f>M451*E451</f>
        <v>2.1960000000000002</v>
      </c>
      <c r="O451" s="893">
        <v>2</v>
      </c>
      <c r="P451" s="893"/>
      <c r="Q451" s="1782">
        <f>VLOOKUP(Q456,$D$147:$F$150,3)</f>
        <v>5</v>
      </c>
      <c r="R451" s="893"/>
      <c r="S451" s="893"/>
      <c r="T451" s="893"/>
      <c r="U451" s="893"/>
      <c r="AE451" s="515"/>
      <c r="AF451" s="2491"/>
      <c r="AG451" s="1105">
        <f>AH450+0.0001%</f>
        <v>-5.0000000000000001E-3</v>
      </c>
      <c r="AH451" s="1018">
        <f>AG451+0.4999%</f>
        <v>-1.0000000000001327E-6</v>
      </c>
      <c r="AI451" s="461" t="s">
        <v>395</v>
      </c>
      <c r="AJ451" s="515"/>
      <c r="AK451" s="515"/>
      <c r="BE451" s="439"/>
    </row>
    <row r="452" spans="2:57" s="440" customFormat="1" ht="15" customHeight="1" x14ac:dyDescent="0.3">
      <c r="B452" s="774" t="str">
        <f>'V.Fiscal Affordability'!B40</f>
        <v>(i)</v>
      </c>
      <c r="C452" s="790" t="str">
        <f>'V.Fiscal Affordability'!E40</f>
        <v>In case of direct fiscal commitments, are the expected annual payments within budgetary ceilings?</v>
      </c>
      <c r="D452" s="790">
        <f t="shared" ref="D452:D455" si="278">IF(C452=0,0,1)</f>
        <v>1</v>
      </c>
      <c r="E452" s="808">
        <f>D125</f>
        <v>0.25</v>
      </c>
      <c r="F452" s="777" t="str">
        <f>IF(C452=0,NA,'V.Fiscal Affordability'!AB40)</f>
        <v>Yes</v>
      </c>
      <c r="G452" s="783" t="str">
        <f t="shared" ref="G452:G455" si="279">VLOOKUP(F452,$B$179:$F$184,4,FALSE)</f>
        <v>Yes</v>
      </c>
      <c r="H452" s="783">
        <f t="shared" ref="H452:H455" si="280">VLOOKUP(G452,$B$179:$C$184,2,FALSE)</f>
        <v>1</v>
      </c>
      <c r="I452" s="793">
        <f t="shared" ref="I452:I455" si="281">IF(G452="N/A",1,0)</f>
        <v>0</v>
      </c>
      <c r="J452" s="793">
        <f t="shared" ref="J452:J455" si="282">IF(G452="Skip",1,0)</f>
        <v>0</v>
      </c>
      <c r="K452" s="794">
        <f>U452</f>
        <v>0.25</v>
      </c>
      <c r="L452" s="800">
        <f t="shared" ref="L452:L455" si="283">K452*H452</f>
        <v>0.25</v>
      </c>
      <c r="M452" s="886"/>
      <c r="N452" s="777"/>
      <c r="O452" s="777">
        <v>2.5</v>
      </c>
      <c r="P452" s="777"/>
      <c r="Q452" s="1767">
        <f>IF(OR(G452="Yes",G452="N/A"),0,1)</f>
        <v>0</v>
      </c>
      <c r="R452" s="819">
        <f>IF(I452=1,E452,0)</f>
        <v>0</v>
      </c>
      <c r="S452" s="819">
        <f>IF(I452=1,0,E452)</f>
        <v>0.25</v>
      </c>
      <c r="T452" s="860">
        <f>IFERROR(S452/$S$456,0)</f>
        <v>0.25</v>
      </c>
      <c r="U452" s="819">
        <f>S452+(T452*$R$456)</f>
        <v>0.25</v>
      </c>
      <c r="AE452" s="515"/>
      <c r="AF452" s="2491"/>
      <c r="AG452" s="1105">
        <f t="shared" ref="AG452:AG459" si="284">AH451+0.0001%</f>
        <v>-1.3277241448211158E-19</v>
      </c>
      <c r="AH452" s="1018">
        <f t="shared" ref="AH452:AH459" si="285">AG452+0.2499%</f>
        <v>2.4989999999999999E-3</v>
      </c>
      <c r="AI452" s="461" t="s">
        <v>390</v>
      </c>
      <c r="AJ452" s="515"/>
      <c r="AK452" s="515"/>
      <c r="BE452" s="439"/>
    </row>
    <row r="453" spans="2:57" s="440" customFormat="1" ht="15" customHeight="1" x14ac:dyDescent="0.3">
      <c r="B453" s="774" t="str">
        <f>'V.Fiscal Affordability'!B41</f>
        <v>(ii)</v>
      </c>
      <c r="C453" s="790" t="str">
        <f>'V.Fiscal Affordability'!E41</f>
        <v>If a non-termination event defined by the PPP contract (or a guarantee arrangement) occurs, are the maximum expected annual payouts triggered by this event within acceptable budgetary limits for the government?</v>
      </c>
      <c r="D453" s="790">
        <f t="shared" si="278"/>
        <v>1</v>
      </c>
      <c r="E453" s="808">
        <f>D126</f>
        <v>0.25</v>
      </c>
      <c r="F453" s="777" t="str">
        <f>IF(C453=0,NA,'V.Fiscal Affordability'!AB41)</f>
        <v>Yes</v>
      </c>
      <c r="G453" s="783" t="str">
        <f t="shared" si="279"/>
        <v>Yes</v>
      </c>
      <c r="H453" s="783">
        <f t="shared" si="280"/>
        <v>1</v>
      </c>
      <c r="I453" s="793">
        <f t="shared" si="281"/>
        <v>0</v>
      </c>
      <c r="J453" s="793">
        <f t="shared" si="282"/>
        <v>0</v>
      </c>
      <c r="K453" s="794">
        <f>U453</f>
        <v>0.25</v>
      </c>
      <c r="L453" s="800">
        <f t="shared" si="283"/>
        <v>0.25</v>
      </c>
      <c r="M453" s="886"/>
      <c r="N453" s="777"/>
      <c r="O453" s="777"/>
      <c r="P453" s="777"/>
      <c r="Q453" s="1767">
        <f t="shared" ref="Q453:Q455" si="286">IF(OR(G453="Yes",G453="N/A"),0,1)</f>
        <v>0</v>
      </c>
      <c r="R453" s="819">
        <f>IF(I453=1,E453,0)</f>
        <v>0</v>
      </c>
      <c r="S453" s="819">
        <f>IF(I453=1,0,E453)</f>
        <v>0.25</v>
      </c>
      <c r="T453" s="860">
        <f>IFERROR(S453/$S$456,0)</f>
        <v>0.25</v>
      </c>
      <c r="U453" s="819">
        <f>S453+(T453*$R$456)</f>
        <v>0.25</v>
      </c>
      <c r="AE453" s="515"/>
      <c r="AF453" s="2491"/>
      <c r="AG453" s="1105">
        <f t="shared" si="284"/>
        <v>2.5000000000000001E-3</v>
      </c>
      <c r="AH453" s="1018">
        <f t="shared" si="285"/>
        <v>4.999E-3</v>
      </c>
      <c r="AI453" s="461" t="s">
        <v>396</v>
      </c>
      <c r="AJ453" s="515"/>
      <c r="AK453" s="515"/>
      <c r="AL453" s="964"/>
      <c r="BE453" s="439"/>
    </row>
    <row r="454" spans="2:57" s="440" customFormat="1" ht="15" customHeight="1" x14ac:dyDescent="0.3">
      <c r="B454" s="774" t="str">
        <f>'V.Fiscal Affordability'!B42</f>
        <v>(iii)</v>
      </c>
      <c r="C454" s="1030" t="str">
        <f>'V.Fiscal Affordability'!E42</f>
        <v>Will the impacts of direct and contingent liabilities of the project be within an acceptable level for the government?</v>
      </c>
      <c r="D454" s="790">
        <f t="shared" si="278"/>
        <v>1</v>
      </c>
      <c r="E454" s="808">
        <f>D127</f>
        <v>0.25</v>
      </c>
      <c r="F454" s="777" t="str">
        <f>IF(C454=0,NA,'V.Fiscal Affordability'!AB42)</f>
        <v>Yes</v>
      </c>
      <c r="G454" s="783" t="str">
        <f t="shared" si="279"/>
        <v>Yes</v>
      </c>
      <c r="H454" s="783">
        <f t="shared" si="280"/>
        <v>1</v>
      </c>
      <c r="I454" s="793">
        <f t="shared" si="281"/>
        <v>0</v>
      </c>
      <c r="J454" s="793">
        <f t="shared" si="282"/>
        <v>0</v>
      </c>
      <c r="K454" s="794">
        <f>U454</f>
        <v>0.25</v>
      </c>
      <c r="L454" s="800">
        <f t="shared" si="283"/>
        <v>0.25</v>
      </c>
      <c r="M454" s="886"/>
      <c r="N454" s="777"/>
      <c r="O454" s="777"/>
      <c r="P454" s="777"/>
      <c r="Q454" s="1767">
        <f>IF(OR(G454="Yes",G454="N/A"),0,1)</f>
        <v>0</v>
      </c>
      <c r="R454" s="819">
        <f>IF(I454=1,E454,0)</f>
        <v>0</v>
      </c>
      <c r="S454" s="819">
        <f>IF(I454=1,0,E454)</f>
        <v>0.25</v>
      </c>
      <c r="T454" s="860">
        <f>IFERROR(S454/$S$456,0)</f>
        <v>0.25</v>
      </c>
      <c r="U454" s="819">
        <f>S454+(T454*$R$456)</f>
        <v>0.25</v>
      </c>
      <c r="AE454" s="515"/>
      <c r="AF454" s="2491"/>
      <c r="AG454" s="1105">
        <f t="shared" si="284"/>
        <v>5.0000000000000001E-3</v>
      </c>
      <c r="AH454" s="1017">
        <v>100000</v>
      </c>
      <c r="AI454" s="461" t="s">
        <v>389</v>
      </c>
      <c r="AJ454" s="515"/>
      <c r="AK454" s="515"/>
      <c r="AL454" s="966"/>
      <c r="BE454" s="439"/>
    </row>
    <row r="455" spans="2:57" s="440" customFormat="1" ht="15" customHeight="1" x14ac:dyDescent="0.3">
      <c r="B455" s="774" t="str">
        <f>'V.Fiscal Affordability'!B43</f>
        <v>(iv)</v>
      </c>
      <c r="C455" s="790" t="str">
        <f>'V.Fiscal Affordability'!E43</f>
        <v xml:space="preserve">Is there a clear strategy to mitigate fiscal risks emerging from the PPP contract ? </v>
      </c>
      <c r="D455" s="790">
        <f t="shared" si="278"/>
        <v>1</v>
      </c>
      <c r="E455" s="808">
        <f>D128</f>
        <v>0.25</v>
      </c>
      <c r="F455" s="777" t="str">
        <f>IF(C455=0,NA,'V.Fiscal Affordability'!AB43)</f>
        <v>Yes</v>
      </c>
      <c r="G455" s="783" t="str">
        <f t="shared" si="279"/>
        <v>Yes</v>
      </c>
      <c r="H455" s="783">
        <f t="shared" si="280"/>
        <v>1</v>
      </c>
      <c r="I455" s="793">
        <f t="shared" si="281"/>
        <v>0</v>
      </c>
      <c r="J455" s="793">
        <f t="shared" si="282"/>
        <v>0</v>
      </c>
      <c r="K455" s="794">
        <f>U455</f>
        <v>0.25</v>
      </c>
      <c r="L455" s="800">
        <f t="shared" si="283"/>
        <v>0.25</v>
      </c>
      <c r="M455" s="886"/>
      <c r="N455" s="777"/>
      <c r="O455" s="777"/>
      <c r="P455" s="777"/>
      <c r="Q455" s="1767">
        <f t="shared" si="286"/>
        <v>0</v>
      </c>
      <c r="R455" s="819">
        <f>IF(I455=1,E455,0)</f>
        <v>0</v>
      </c>
      <c r="S455" s="819">
        <f>IF(I455=1,0,E455)</f>
        <v>0.25</v>
      </c>
      <c r="T455" s="860">
        <f>IFERROR(S455/$S$456,0)</f>
        <v>0.25</v>
      </c>
      <c r="U455" s="819">
        <f>S455+(T455*$R$456)</f>
        <v>0.25</v>
      </c>
      <c r="AE455" s="515"/>
      <c r="AF455" s="2491" t="s">
        <v>408</v>
      </c>
      <c r="AG455" s="1106">
        <v>-1</v>
      </c>
      <c r="AH455" s="1019">
        <f>-0.5%+0.2499%</f>
        <v>-2.5010000000000002E-3</v>
      </c>
      <c r="AI455" s="461" t="s">
        <v>391</v>
      </c>
      <c r="AJ455" s="1011"/>
      <c r="AK455" s="1011"/>
      <c r="AL455" s="1009"/>
      <c r="BE455" s="439"/>
    </row>
    <row r="456" spans="2:57" s="440" customFormat="1" ht="15" customHeight="1" x14ac:dyDescent="0.3">
      <c r="B456" s="1116"/>
      <c r="C456" s="1116"/>
      <c r="D456" s="1116"/>
      <c r="E456" s="1116"/>
      <c r="F456" s="1116"/>
      <c r="G456" s="1116"/>
      <c r="H456" s="1116"/>
      <c r="I456" s="1116"/>
      <c r="J456" s="887"/>
      <c r="K456" s="888"/>
      <c r="L456" s="888"/>
      <c r="M456" s="888"/>
      <c r="N456" s="888"/>
      <c r="O456" s="888"/>
      <c r="P456" s="888"/>
      <c r="Q456" s="1766">
        <f>IF(ISERROR(SUM(Q452:Q455)/(H451-I451)),0,SUM(Q452:Q455)/(H451-I451))</f>
        <v>0</v>
      </c>
      <c r="R456" s="923">
        <f>SUM(R452:R455)</f>
        <v>0</v>
      </c>
      <c r="S456" s="923">
        <f t="shared" ref="S456:U456" si="287">SUM(S452:S455)</f>
        <v>1</v>
      </c>
      <c r="T456" s="923">
        <f t="shared" si="287"/>
        <v>1</v>
      </c>
      <c r="U456" s="923">
        <f t="shared" si="287"/>
        <v>1</v>
      </c>
      <c r="AE456" s="515"/>
      <c r="AF456" s="2491"/>
      <c r="AG456" s="1105">
        <f>AH455+0.0001%</f>
        <v>-2.5000000000000001E-3</v>
      </c>
      <c r="AH456" s="1018">
        <f t="shared" si="285"/>
        <v>-1.0000000000001327E-6</v>
      </c>
      <c r="AI456" s="461" t="s">
        <v>395</v>
      </c>
      <c r="AJ456" s="1011"/>
      <c r="AK456" s="1011"/>
      <c r="AL456" s="47"/>
      <c r="BE456" s="439"/>
    </row>
    <row r="457" spans="2:57" s="440" customFormat="1" ht="15" customHeight="1" x14ac:dyDescent="0.3">
      <c r="B457" s="439"/>
      <c r="C457" s="856" t="s">
        <v>375</v>
      </c>
      <c r="D457" s="856"/>
      <c r="E457" s="922">
        <f>IF(OR(AND(Admin!$L$69&lt;$M$451,$M$451&lt;=Admin!$L$68),AND(Admin!$L$69&lt;$M$445,$M$445&lt;=Admin!$L$68)),MIN(Admin!$N$68,$N$451+$N$445),IF(OR(Admin!$L$69&gt;=$M$451,Admin!$L$69&gt;=$M$445),MIN(Admin!$N$69,$N$451+$N$445),$N$451+$N$445))</f>
        <v>4.1959999999999997</v>
      </c>
      <c r="F457" s="879" t="str">
        <f>VLOOKUP(E457,$J$198:$L$207,3,TRUE)</f>
        <v>Strong</v>
      </c>
      <c r="G457" s="879"/>
      <c r="H457" s="455"/>
      <c r="I457" s="455"/>
      <c r="J457" s="439"/>
      <c r="K457" s="439"/>
      <c r="L457" s="455"/>
      <c r="M457" s="455"/>
      <c r="N457" s="455"/>
      <c r="O457" s="455"/>
      <c r="P457" s="455"/>
      <c r="Q457" s="439"/>
      <c r="AE457" s="515"/>
      <c r="AF457" s="2491"/>
      <c r="AG457" s="1105">
        <f t="shared" si="284"/>
        <v>-1.3277241448211158E-19</v>
      </c>
      <c r="AH457" s="1018">
        <f t="shared" si="285"/>
        <v>2.4989999999999999E-3</v>
      </c>
      <c r="AI457" s="461" t="s">
        <v>390</v>
      </c>
      <c r="AJ457" s="1012"/>
      <c r="AK457" s="1012"/>
      <c r="AL457" s="47"/>
      <c r="BE457" s="439"/>
    </row>
    <row r="458" spans="2:57" s="440" customFormat="1" ht="15" customHeight="1" x14ac:dyDescent="0.3">
      <c r="P458" s="513"/>
      <c r="AE458" s="515"/>
      <c r="AF458" s="2491"/>
      <c r="AG458" s="1105">
        <f t="shared" si="284"/>
        <v>2.5000000000000001E-3</v>
      </c>
      <c r="AH458" s="1018">
        <f t="shared" si="285"/>
        <v>4.999E-3</v>
      </c>
      <c r="AI458" s="461" t="s">
        <v>396</v>
      </c>
      <c r="AJ458" s="515"/>
      <c r="AK458" s="1013"/>
      <c r="AL458" s="441"/>
      <c r="BE458" s="439"/>
    </row>
    <row r="459" spans="2:57" s="440" customFormat="1" ht="15" customHeight="1" x14ac:dyDescent="0.3">
      <c r="P459" s="513"/>
      <c r="AE459" s="515"/>
      <c r="AF459" s="2491"/>
      <c r="AG459" s="1105">
        <f t="shared" si="284"/>
        <v>5.0000000000000001E-3</v>
      </c>
      <c r="AH459" s="1018">
        <f t="shared" si="285"/>
        <v>7.4990000000000005E-3</v>
      </c>
      <c r="AI459" s="461" t="s">
        <v>389</v>
      </c>
      <c r="AJ459" s="515"/>
      <c r="AK459" s="1013"/>
      <c r="AL459" s="441"/>
      <c r="BE459" s="439"/>
    </row>
    <row r="460" spans="2:57" s="440" customFormat="1" ht="15" customHeight="1" x14ac:dyDescent="0.3">
      <c r="P460" s="513"/>
      <c r="AE460" s="515"/>
      <c r="AF460" s="1008"/>
      <c r="AG460" s="757" t="str">
        <f>AF450</f>
        <v>Direct Liabilities</v>
      </c>
      <c r="AH460" s="1007">
        <f>IF('0.Basic Project Data'!H26="",0.5%,'0.Basic Project Data'!H26)</f>
        <v>0</v>
      </c>
      <c r="AI460" s="757" t="s">
        <v>29</v>
      </c>
      <c r="AJ460" s="743" t="str">
        <f>VLOOKUP(AH460,AG450:AI454,3,TRUE)</f>
        <v>Moderate</v>
      </c>
      <c r="AK460" s="515" t="str">
        <f>IF(AH460=0,"Uncertain","")</f>
        <v>Uncertain</v>
      </c>
      <c r="AL460" s="441"/>
      <c r="BE460" s="439"/>
    </row>
    <row r="461" spans="2:57" s="440" customFormat="1" ht="15" customHeight="1" x14ac:dyDescent="0.3">
      <c r="P461" s="513"/>
      <c r="AE461" s="515"/>
      <c r="AF461" s="1008"/>
      <c r="AG461" s="757" t="str">
        <f>AF455</f>
        <v>Contingent Liabilities</v>
      </c>
      <c r="AH461" s="1007">
        <f>IF(ABS('0.Basic Project Data'!H27)&gt;=0,'0.Basic Project Data'!H27, 0.25%)</f>
        <v>0</v>
      </c>
      <c r="AI461" s="757" t="s">
        <v>29</v>
      </c>
      <c r="AJ461" s="743" t="str">
        <f>VLOOKUP(AH461,AG455:AI459,3,TRUE)</f>
        <v>Moderate</v>
      </c>
      <c r="AK461" s="515" t="str">
        <f>IF(AH461=0,"Uncertain","")</f>
        <v>Uncertain</v>
      </c>
      <c r="BE461" s="439"/>
    </row>
    <row r="462" spans="2:57" s="440" customFormat="1" ht="15" customHeight="1" x14ac:dyDescent="0.3">
      <c r="P462" s="513"/>
      <c r="AE462" s="2494" t="str">
        <f>AG461</f>
        <v>Contingent Liabilities</v>
      </c>
      <c r="AF462" s="2494"/>
      <c r="AG462" s="515"/>
      <c r="AH462" s="515"/>
      <c r="AI462" s="515"/>
      <c r="AJ462" s="515"/>
      <c r="AK462" s="515"/>
      <c r="BE462" s="439"/>
    </row>
    <row r="463" spans="2:57" s="440" customFormat="1" ht="15" customHeight="1" x14ac:dyDescent="0.3">
      <c r="P463" s="513"/>
      <c r="AE463" s="515">
        <f>IF(AF463=$AJ$461,1,0)</f>
        <v>0</v>
      </c>
      <c r="AF463" s="515" t="str">
        <f>AI454</f>
        <v>High</v>
      </c>
      <c r="AG463" s="955">
        <v>3</v>
      </c>
      <c r="AH463" s="956">
        <v>2.5</v>
      </c>
      <c r="AI463" s="957">
        <v>2</v>
      </c>
      <c r="AJ463" s="958">
        <v>1.5</v>
      </c>
      <c r="AK463" s="959">
        <v>1</v>
      </c>
      <c r="BE463" s="439"/>
    </row>
    <row r="464" spans="2:57" s="440" customFormat="1" ht="15" customHeight="1" x14ac:dyDescent="0.3">
      <c r="P464" s="513"/>
      <c r="AE464" s="515">
        <f>IF(AF464=$AJ$461,1,0)</f>
        <v>0</v>
      </c>
      <c r="AF464" s="515" t="str">
        <f>AI453</f>
        <v>Moderate- High</v>
      </c>
      <c r="AG464" s="960">
        <v>3.5</v>
      </c>
      <c r="AH464" s="955">
        <v>3</v>
      </c>
      <c r="AI464" s="956">
        <v>2.5</v>
      </c>
      <c r="AJ464" s="957">
        <v>2</v>
      </c>
      <c r="AK464" s="958">
        <v>1.5</v>
      </c>
      <c r="BE464" s="439"/>
    </row>
    <row r="465" spans="1:57" s="440" customFormat="1" ht="15" customHeight="1" x14ac:dyDescent="0.3">
      <c r="P465" s="513"/>
      <c r="AE465" s="515">
        <f>IF(AF465=$AJ$461,1,0)</f>
        <v>1</v>
      </c>
      <c r="AF465" s="515" t="str">
        <f>AI452</f>
        <v>Moderate</v>
      </c>
      <c r="AG465" s="961">
        <v>4</v>
      </c>
      <c r="AH465" s="960">
        <v>3.5</v>
      </c>
      <c r="AI465" s="955">
        <v>3</v>
      </c>
      <c r="AJ465" s="956">
        <v>2.5</v>
      </c>
      <c r="AK465" s="957">
        <v>2</v>
      </c>
      <c r="BE465" s="439"/>
    </row>
    <row r="466" spans="1:57" s="440" customFormat="1" ht="15" customHeight="1" x14ac:dyDescent="0.3">
      <c r="P466" s="513"/>
      <c r="AE466" s="515">
        <f>IF(AF466=$AJ$461,1,0)</f>
        <v>0</v>
      </c>
      <c r="AF466" s="515" t="str">
        <f>AI451</f>
        <v>Medium-Low</v>
      </c>
      <c r="AG466" s="962">
        <v>4.5</v>
      </c>
      <c r="AH466" s="961">
        <v>4</v>
      </c>
      <c r="AI466" s="960">
        <v>3.5</v>
      </c>
      <c r="AJ466" s="955">
        <v>3</v>
      </c>
      <c r="AK466" s="956">
        <v>2.5</v>
      </c>
      <c r="AL466" s="441"/>
      <c r="BE466" s="439"/>
    </row>
    <row r="467" spans="1:57" s="440" customFormat="1" ht="15" customHeight="1" x14ac:dyDescent="0.3">
      <c r="P467" s="513"/>
      <c r="AE467" s="515">
        <f>IF(AF467=$AJ$461,1,0)</f>
        <v>0</v>
      </c>
      <c r="AF467" s="515" t="str">
        <f>AI450</f>
        <v>Low</v>
      </c>
      <c r="AG467" s="963">
        <v>5</v>
      </c>
      <c r="AH467" s="962">
        <v>4.5</v>
      </c>
      <c r="AI467" s="961">
        <v>4</v>
      </c>
      <c r="AJ467" s="960">
        <v>3.5</v>
      </c>
      <c r="AK467" s="955">
        <v>3</v>
      </c>
      <c r="AL467" s="441"/>
      <c r="BE467" s="439"/>
    </row>
    <row r="468" spans="1:57" s="440" customFormat="1" ht="15" customHeight="1" x14ac:dyDescent="0.3">
      <c r="P468" s="513"/>
      <c r="AE468" s="515"/>
      <c r="AF468" s="515"/>
      <c r="AG468" s="515" t="str">
        <f>AI455</f>
        <v>Low</v>
      </c>
      <c r="AH468" s="515" t="str">
        <f>AI456</f>
        <v>Medium-Low</v>
      </c>
      <c r="AI468" s="515" t="str">
        <f>AI457</f>
        <v>Moderate</v>
      </c>
      <c r="AJ468" s="515" t="str">
        <f>AI458</f>
        <v>Moderate- High</v>
      </c>
      <c r="AK468" s="515" t="str">
        <f>AI459</f>
        <v>High</v>
      </c>
      <c r="AL468" s="441"/>
      <c r="BE468" s="439"/>
    </row>
    <row r="469" spans="1:57" s="440" customFormat="1" ht="15" customHeight="1" x14ac:dyDescent="0.3">
      <c r="P469" s="513"/>
      <c r="AE469" s="515"/>
      <c r="AF469" s="515"/>
      <c r="AG469" s="515">
        <f>IF($AJ$460=AG468,1,0)</f>
        <v>0</v>
      </c>
      <c r="AH469" s="515">
        <f>IF($AJ$460=AH468,1,0)</f>
        <v>0</v>
      </c>
      <c r="AI469" s="515">
        <f>IF($AJ$460=AI468,1,0)</f>
        <v>1</v>
      </c>
      <c r="AJ469" s="515">
        <f>IF($AJ$460=AJ468,1,0)</f>
        <v>0</v>
      </c>
      <c r="AK469" s="515">
        <f>IF($AJ$460=AK468,1,0)</f>
        <v>0</v>
      </c>
      <c r="AL469" s="441"/>
      <c r="BE469" s="439"/>
    </row>
    <row r="470" spans="1:57" s="440" customFormat="1" ht="15" customHeight="1" x14ac:dyDescent="0.3">
      <c r="P470" s="513"/>
      <c r="AE470" s="515"/>
      <c r="AF470" s="515"/>
      <c r="AG470" s="2494" t="str">
        <f>AG460</f>
        <v>Direct Liabilities</v>
      </c>
      <c r="AH470" s="2494"/>
      <c r="AI470" s="2494"/>
      <c r="AJ470" s="2494"/>
      <c r="AK470" s="2494"/>
      <c r="AL470" s="441"/>
      <c r="BE470" s="439"/>
    </row>
    <row r="471" spans="1:57" s="440" customFormat="1" ht="15" customHeight="1" x14ac:dyDescent="0.3">
      <c r="P471" s="513"/>
      <c r="AG471" s="456" t="s">
        <v>415</v>
      </c>
      <c r="AH471" s="456">
        <f>IF('0.Basic Project Data'!H25=No,S197,AI472)</f>
        <v>3</v>
      </c>
      <c r="AL471" s="441"/>
      <c r="BE471" s="439"/>
    </row>
    <row r="472" spans="1:57" s="440" customFormat="1" ht="15" customHeight="1" x14ac:dyDescent="0.3">
      <c r="P472" s="513"/>
      <c r="AG472" s="456" t="s">
        <v>414</v>
      </c>
      <c r="AH472" s="968">
        <f>J14</f>
        <v>0.67</v>
      </c>
      <c r="AI472" s="440">
        <f>IF(AND(AE463=1,AG469=1),AG463,IF(AND(AE464=1,AG469=1),AG464,IF(AND(AE465=1,AG469=1),AG465,IF(AND(AE466=1,AG469=1),AG466,IF(AND(AE467=1,AG469=1),AG467,IF(AND(AE463=1,AH469=1),AH463,IF(AND(AE464=1,AH469=1),AH464,IF(AND(AE465=1,AH469=1),AH465,IF(AND(AE466=1,AH469=1),AH466,IF(AND(AE467=1,AH469=1),AH467,IF(AND(AE463=1,AI469=1),AI463,IF(AND(AE464=1,AI469=1),AI464,IF(AND(AE465=1,AI469=1),AI465,IF(AND(AE466=1,AI469=1),AI466,IF(AND(AE467=1,AI469=1),AI467,IF(AND(AE463=1,AJ469=1),AJ463,IF(AND(AE464=1,AJ469=1),AJ464,IF(AND(AE465=1,AJ469=1),AJ465,IF(AND(AE466=1,AJ469=1),AJ466,IF(AND(AE467=1,AJ469=1),AJ467,IF(AND(AE463=1,AK469=1),AK463,IF(AND(AE464=1,AK469=1),AK464,IF(AND(AE465=1,AK469=1),AK465,IF(AND(AE466=1,AK469=1),AK466,IF(AND(AE467=1,AK469=1),AK467)))))))))))))))))))))))))</f>
        <v>3</v>
      </c>
      <c r="AL472" s="441"/>
      <c r="BE472" s="439"/>
    </row>
    <row r="473" spans="1:57" s="440" customFormat="1" ht="15" customHeight="1" x14ac:dyDescent="0.3">
      <c r="P473" s="513"/>
      <c r="AG473" s="456" t="s">
        <v>413</v>
      </c>
      <c r="AH473" s="967">
        <f>AH472*AH471</f>
        <v>2.0100000000000002</v>
      </c>
      <c r="AL473" s="441"/>
      <c r="BE473" s="439"/>
    </row>
    <row r="474" spans="1:57" s="440" customFormat="1" ht="15" customHeight="1" x14ac:dyDescent="0.3">
      <c r="P474" s="513"/>
      <c r="AK474" s="441"/>
      <c r="AL474" s="441"/>
      <c r="BE474" s="439"/>
    </row>
    <row r="475" spans="1:57" s="440" customFormat="1" ht="25.8" x14ac:dyDescent="0.5">
      <c r="A475" s="828" t="s">
        <v>562</v>
      </c>
      <c r="B475" s="552"/>
      <c r="C475" s="553"/>
      <c r="D475" s="935" t="s">
        <v>367</v>
      </c>
      <c r="E475" s="935"/>
      <c r="F475" s="935"/>
      <c r="G475" s="932"/>
      <c r="H475" s="933"/>
      <c r="I475" s="935"/>
      <c r="J475" s="935"/>
      <c r="K475" s="935"/>
      <c r="L475" s="935"/>
      <c r="M475" s="935"/>
      <c r="N475" s="935"/>
      <c r="O475" s="935"/>
      <c r="P475" s="934"/>
      <c r="Q475" s="934"/>
      <c r="R475" s="935" t="s">
        <v>456</v>
      </c>
      <c r="S475" s="935"/>
      <c r="T475" s="935"/>
      <c r="U475" s="935"/>
      <c r="V475" s="935"/>
      <c r="W475" s="935" t="s">
        <v>368</v>
      </c>
      <c r="X475" s="935"/>
      <c r="Y475" s="935"/>
      <c r="Z475" s="935"/>
      <c r="AA475" s="935"/>
      <c r="AB475" s="935"/>
      <c r="AC475" s="935"/>
      <c r="AD475" s="935"/>
      <c r="AE475" s="935" t="s">
        <v>369</v>
      </c>
      <c r="AF475" s="554"/>
      <c r="AG475" s="554"/>
      <c r="AH475" s="554"/>
      <c r="AI475" s="554"/>
      <c r="AJ475" s="554"/>
      <c r="AK475" s="555"/>
      <c r="AL475" s="555"/>
      <c r="AM475" s="554"/>
      <c r="AN475" s="554"/>
      <c r="AO475" s="554"/>
      <c r="AP475" s="554"/>
      <c r="AQ475" s="554"/>
      <c r="AR475" s="554"/>
      <c r="AS475" s="554"/>
      <c r="AT475" s="554"/>
      <c r="AU475" s="554"/>
      <c r="AV475" s="554"/>
      <c r="AW475" s="554"/>
      <c r="AX475" s="554"/>
      <c r="AY475" s="554"/>
      <c r="AZ475" s="554"/>
      <c r="BA475" s="554"/>
      <c r="BB475" s="554"/>
      <c r="BC475" s="554"/>
      <c r="BD475" s="554"/>
      <c r="BE475" s="439"/>
    </row>
    <row r="476" spans="1:57" s="440" customFormat="1" ht="15" customHeight="1" thickBot="1" x14ac:dyDescent="0.35">
      <c r="B476" s="522"/>
      <c r="C476" s="523"/>
      <c r="G476" s="524"/>
      <c r="H476" s="525"/>
      <c r="P476" s="513"/>
      <c r="AK476" s="441"/>
      <c r="AL476" s="441"/>
      <c r="BE476" s="439"/>
    </row>
    <row r="477" spans="1:57" s="440" customFormat="1" ht="57.6" x14ac:dyDescent="0.3">
      <c r="B477" s="731" t="s">
        <v>31</v>
      </c>
      <c r="C477" s="731" t="s">
        <v>326</v>
      </c>
      <c r="D477" s="731" t="s">
        <v>464</v>
      </c>
      <c r="E477" s="732" t="s">
        <v>279</v>
      </c>
      <c r="F477" s="732" t="s">
        <v>32</v>
      </c>
      <c r="G477" s="732" t="s">
        <v>449</v>
      </c>
      <c r="H477" s="732" t="s">
        <v>355</v>
      </c>
      <c r="I477" s="732" t="s">
        <v>360</v>
      </c>
      <c r="J477" s="732" t="s">
        <v>361</v>
      </c>
      <c r="K477" s="732" t="s">
        <v>359</v>
      </c>
      <c r="L477" s="732" t="s">
        <v>340</v>
      </c>
      <c r="M477" s="732" t="s">
        <v>356</v>
      </c>
      <c r="N477" s="809" t="s">
        <v>365</v>
      </c>
      <c r="O477" s="809" t="s">
        <v>253</v>
      </c>
      <c r="P477" s="809" t="s">
        <v>115</v>
      </c>
      <c r="Q477" s="809" t="str">
        <f>Q274</f>
        <v>Applicable score constraints for cases with extremely poor responses (Negative, Uncertain and/or Skip) Refer cells B147:F149</v>
      </c>
      <c r="R477" s="731" t="s">
        <v>455</v>
      </c>
      <c r="S477" s="731" t="s">
        <v>374</v>
      </c>
      <c r="T477" s="731"/>
      <c r="U477" s="731"/>
      <c r="W477" s="520" t="s">
        <v>47</v>
      </c>
      <c r="X477" s="520" t="s">
        <v>373</v>
      </c>
      <c r="Z477" s="467" t="s">
        <v>13</v>
      </c>
      <c r="AA477" s="468" t="s">
        <v>8</v>
      </c>
      <c r="AB477" s="469"/>
      <c r="AE477" s="454" t="s">
        <v>370</v>
      </c>
      <c r="AF477" s="454" t="s">
        <v>371</v>
      </c>
      <c r="AG477" s="454" t="s">
        <v>282</v>
      </c>
      <c r="AK477" s="441"/>
      <c r="AL477" s="441"/>
      <c r="BE477" s="439"/>
    </row>
    <row r="478" spans="1:57" s="440" customFormat="1" ht="15" customHeight="1" x14ac:dyDescent="0.3">
      <c r="B478" s="767">
        <v>1</v>
      </c>
      <c r="C478" s="768"/>
      <c r="D478" s="768"/>
      <c r="E478" s="768"/>
      <c r="F478" s="768"/>
      <c r="G478" s="768"/>
      <c r="H478" s="768"/>
      <c r="I478" s="768"/>
      <c r="J478" s="769"/>
      <c r="K478" s="769"/>
      <c r="L478" s="768"/>
      <c r="M478" s="770"/>
      <c r="N478" s="770"/>
      <c r="O478" s="809"/>
      <c r="P478" s="809"/>
      <c r="Q478" s="1764"/>
      <c r="R478" s="731" t="s">
        <v>362</v>
      </c>
      <c r="S478" s="731" t="s">
        <v>364</v>
      </c>
      <c r="T478" s="731" t="s">
        <v>338</v>
      </c>
      <c r="U478" s="731" t="s">
        <v>336</v>
      </c>
      <c r="W478" s="774" t="str">
        <f>C479</f>
        <v>Institutional Capacity</v>
      </c>
      <c r="X478" s="857">
        <f>M479</f>
        <v>5</v>
      </c>
      <c r="Z478" s="472">
        <v>1</v>
      </c>
      <c r="AA478" s="461" t="s">
        <v>9</v>
      </c>
      <c r="AB478" s="461">
        <f>$E$498*180/5</f>
        <v>180.00000000000003</v>
      </c>
      <c r="AE478" s="830" t="s">
        <v>34</v>
      </c>
      <c r="AF478" s="830">
        <f>COUNTIF($G$480:$G$497,"Yes")</f>
        <v>14</v>
      </c>
      <c r="AG478" s="834">
        <f>AF478/$AF$483</f>
        <v>0.875</v>
      </c>
      <c r="AK478" s="441"/>
      <c r="AL478" s="441"/>
      <c r="BE478" s="439"/>
    </row>
    <row r="479" spans="1:57" s="440" customFormat="1" ht="15" customHeight="1" x14ac:dyDescent="0.3">
      <c r="B479" s="870">
        <f>'VI.Institutional Capability'!B29</f>
        <v>1</v>
      </c>
      <c r="C479" s="897" t="str">
        <f>'VI.Institutional Capability'!D29</f>
        <v>Institutional Capacity</v>
      </c>
      <c r="D479" s="897">
        <f>COUNTIF(D480:D483,1)</f>
        <v>4</v>
      </c>
      <c r="E479" s="908">
        <f>Admin!I32</f>
        <v>0.33333333333333337</v>
      </c>
      <c r="F479" s="871"/>
      <c r="G479" s="871"/>
      <c r="H479" s="1783">
        <f>COUNTA(H480:H483)</f>
        <v>4</v>
      </c>
      <c r="I479" s="1783">
        <f>SUM(I480:I483)</f>
        <v>0</v>
      </c>
      <c r="J479" s="1059">
        <f>COUNTIF(J480:J483,1)/COUNT(J480:J483)</f>
        <v>0</v>
      </c>
      <c r="K479" s="871"/>
      <c r="L479" s="871"/>
      <c r="M479" s="1360">
        <f>MIN(Q479,IF(J479&gt;O303,MIN(O302,IF(OR(AND(F481="No",F483="No"),COUNTIF(H480:H483,0.5)&gt;=2),MIN($O$480,SUM(L480:L483)*$S$197),IF(COUNTIF(F480:F483,"No")&gt;=2,MIN($O$479,SUM(L480:L483)*$S$197),SUM(L480:L483)*$S$197))),IF(OR(AND(F481="No",F483="No"),COUNTIF(H480:H483,0.5)&gt;=2),MIN($O$480,SUM(L480:L483)*$S$197),IF(COUNTIF(F480:F483,"No")&gt;=2,MIN($O$479,SUM(L480:L483)*$S$197),SUM(L480:L483)*$S$197))))</f>
        <v>5</v>
      </c>
      <c r="N479" s="915">
        <f>M479*E479</f>
        <v>1.666666666666667</v>
      </c>
      <c r="O479" s="871">
        <v>2</v>
      </c>
      <c r="P479" s="871"/>
      <c r="Q479" s="1784">
        <f>VLOOKUP(Q484,$D$147:$F$150,3)</f>
        <v>5</v>
      </c>
      <c r="R479" s="871"/>
      <c r="S479" s="871"/>
      <c r="T479" s="871"/>
      <c r="U479" s="871"/>
      <c r="W479" s="774" t="str">
        <f>C485</f>
        <v>Preparedness of the Contracting Agency for the Project</v>
      </c>
      <c r="X479" s="857">
        <f>M485</f>
        <v>5</v>
      </c>
      <c r="Z479" s="472">
        <f>Z478+1</f>
        <v>2</v>
      </c>
      <c r="AA479" s="461" t="s">
        <v>10</v>
      </c>
      <c r="AB479" s="461">
        <v>1</v>
      </c>
      <c r="AE479" s="830" t="s">
        <v>39</v>
      </c>
      <c r="AF479" s="830">
        <f>COUNTIF($G$480:$G$497,"No")</f>
        <v>0</v>
      </c>
      <c r="AG479" s="834">
        <f>AF479/$AF$483</f>
        <v>0</v>
      </c>
      <c r="AK479" s="441"/>
      <c r="AL479" s="441"/>
      <c r="BE479" s="439"/>
    </row>
    <row r="480" spans="1:57" s="440" customFormat="1" ht="15" customHeight="1" thickBot="1" x14ac:dyDescent="0.35">
      <c r="B480" s="771" t="str">
        <f>'VI.Institutional Capability'!B30</f>
        <v>(i)</v>
      </c>
      <c r="C480" s="790" t="str">
        <f>'VI.Institutional Capability'!D30</f>
        <v>Is there a PPP focal point within the contracting agency?</v>
      </c>
      <c r="D480" s="790">
        <f>IF(C480=0,0,1)</f>
        <v>1</v>
      </c>
      <c r="E480" s="808">
        <f>D130</f>
        <v>0.25</v>
      </c>
      <c r="F480" s="777" t="str">
        <f>'VI.Institutional Capability'!AA30</f>
        <v>Yes</v>
      </c>
      <c r="G480" s="783" t="str">
        <f t="shared" ref="G480:G483" si="288">VLOOKUP(F480,$B$179:$F$184,4,FALSE)</f>
        <v>Yes</v>
      </c>
      <c r="H480" s="783">
        <f t="shared" ref="H480:H483" si="289">VLOOKUP(G480,$B$179:$C$184,2,FALSE)</f>
        <v>1</v>
      </c>
      <c r="I480" s="793">
        <f t="shared" ref="I480" si="290">IF(G480="N/A",1,0)</f>
        <v>0</v>
      </c>
      <c r="J480" s="793">
        <f t="shared" ref="J480" si="291">IF(G480="Skip",1,0)</f>
        <v>0</v>
      </c>
      <c r="K480" s="794">
        <f>U480</f>
        <v>0.25</v>
      </c>
      <c r="L480" s="800">
        <f t="shared" ref="L480:L483" si="292">K480*H480</f>
        <v>0.25</v>
      </c>
      <c r="M480" s="886"/>
      <c r="N480" s="777"/>
      <c r="O480" s="777">
        <v>2.5</v>
      </c>
      <c r="P480" s="777"/>
      <c r="Q480" s="1767">
        <f>IF(OR(G480="Yes",G480="N/A"),0,1)</f>
        <v>0</v>
      </c>
      <c r="R480" s="819">
        <f>IF(I480=1,E480,0)</f>
        <v>0</v>
      </c>
      <c r="S480" s="819">
        <f>IF(I480=1,0,E480)</f>
        <v>0.25</v>
      </c>
      <c r="T480" s="860">
        <f>IFERROR(S480/$S$484,0)</f>
        <v>0.25</v>
      </c>
      <c r="U480" s="819">
        <f>S480+(T480*$R$484)</f>
        <v>0.25</v>
      </c>
      <c r="W480" s="774" t="str">
        <f>C492</f>
        <v>Project Execution Capability of the Contracting Agency</v>
      </c>
      <c r="X480" s="857">
        <f>M492</f>
        <v>5</v>
      </c>
      <c r="Z480" s="476">
        <f>Z479+1</f>
        <v>3</v>
      </c>
      <c r="AA480" s="477" t="s">
        <v>11</v>
      </c>
      <c r="AB480" s="477">
        <f>360-AB478-AB479</f>
        <v>178.99999999999997</v>
      </c>
      <c r="AE480" s="830" t="s">
        <v>61</v>
      </c>
      <c r="AF480" s="830">
        <f>COUNTIF($F$480:$F$497,"Skip")</f>
        <v>0</v>
      </c>
      <c r="AG480" s="834">
        <f>AF480/$AF$483</f>
        <v>0</v>
      </c>
      <c r="AK480" s="441"/>
      <c r="AL480" s="441"/>
      <c r="BE480" s="439"/>
    </row>
    <row r="481" spans="2:57" s="440" customFormat="1" ht="15" customHeight="1" x14ac:dyDescent="0.3">
      <c r="B481" s="771" t="str">
        <f>'VI.Institutional Capability'!B31</f>
        <v>(ii)</v>
      </c>
      <c r="C481" s="790" t="str">
        <f>'VI.Institutional Capability'!D31</f>
        <v>Does the contracting agency have the capacity to manage the PPP project preparation and procurement processes?</v>
      </c>
      <c r="D481" s="790">
        <f t="shared" ref="D481:D483" si="293">IF(C481=0,0,1)</f>
        <v>1</v>
      </c>
      <c r="E481" s="808">
        <f>D131</f>
        <v>0.25</v>
      </c>
      <c r="F481" s="777" t="str">
        <f>'VI.Institutional Capability'!AA31</f>
        <v>Yes</v>
      </c>
      <c r="G481" s="783" t="str">
        <f t="shared" si="288"/>
        <v>Yes</v>
      </c>
      <c r="H481" s="783">
        <f t="shared" si="289"/>
        <v>1</v>
      </c>
      <c r="I481" s="793">
        <f t="shared" ref="I481:I483" si="294">IF(G481="N/A",1,0)</f>
        <v>0</v>
      </c>
      <c r="J481" s="793">
        <f t="shared" ref="J481:J483" si="295">IF(G481="Skip",1,0)</f>
        <v>0</v>
      </c>
      <c r="K481" s="794">
        <f>U481</f>
        <v>0.25</v>
      </c>
      <c r="L481" s="800">
        <f t="shared" si="292"/>
        <v>0.25</v>
      </c>
      <c r="M481" s="886"/>
      <c r="N481" s="777"/>
      <c r="O481" s="777"/>
      <c r="P481" s="777"/>
      <c r="Q481" s="1767">
        <f t="shared" ref="Q481:Q483" si="296">IF(OR(G481="Yes",G481="N/A"),0,1)</f>
        <v>0</v>
      </c>
      <c r="R481" s="819">
        <f>IF(I481=1,E481,0)</f>
        <v>0</v>
      </c>
      <c r="S481" s="819">
        <f>IF(I481=1,0,E481)</f>
        <v>0.25</v>
      </c>
      <c r="T481" s="860">
        <f>IFERROR(S481/$S$484,0)</f>
        <v>0.25</v>
      </c>
      <c r="U481" s="819">
        <f>S481+(T481*$R$484)</f>
        <v>0.25</v>
      </c>
      <c r="AE481" s="831" t="s">
        <v>160</v>
      </c>
      <c r="AF481" s="830">
        <f>COUNTIF($F$480:$F$497,"N/A")</f>
        <v>0</v>
      </c>
      <c r="AG481" s="834">
        <f>AF481/$AF$483</f>
        <v>0</v>
      </c>
      <c r="AK481" s="441"/>
      <c r="AL481" s="441"/>
      <c r="BE481" s="439"/>
    </row>
    <row r="482" spans="2:57" s="440" customFormat="1" ht="15" customHeight="1" x14ac:dyDescent="0.3">
      <c r="B482" s="771" t="str">
        <f>'VI.Institutional Capability'!B32</f>
        <v>(iii)</v>
      </c>
      <c r="C482" s="790" t="str">
        <f>'VI.Institutional Capability'!D32</f>
        <v>Does the contracting agency or its key personnel have previous experience with PPPs?</v>
      </c>
      <c r="D482" s="790">
        <f t="shared" si="293"/>
        <v>1</v>
      </c>
      <c r="E482" s="808">
        <f>D132</f>
        <v>0.25</v>
      </c>
      <c r="F482" s="777" t="str">
        <f>'VI.Institutional Capability'!AA32</f>
        <v>Yes</v>
      </c>
      <c r="G482" s="783" t="str">
        <f t="shared" si="288"/>
        <v>Yes</v>
      </c>
      <c r="H482" s="783">
        <f t="shared" si="289"/>
        <v>1</v>
      </c>
      <c r="I482" s="793">
        <f t="shared" si="294"/>
        <v>0</v>
      </c>
      <c r="J482" s="793">
        <f t="shared" si="295"/>
        <v>0</v>
      </c>
      <c r="K482" s="794">
        <f>U482</f>
        <v>0.25</v>
      </c>
      <c r="L482" s="800">
        <f t="shared" si="292"/>
        <v>0.25</v>
      </c>
      <c r="M482" s="886"/>
      <c r="N482" s="777"/>
      <c r="O482" s="777"/>
      <c r="P482" s="777"/>
      <c r="Q482" s="1767">
        <f>IF(OR(G482="Yes",G482="N/A"),0,1)</f>
        <v>0</v>
      </c>
      <c r="R482" s="819">
        <f>IF(I482=1,E482,0)</f>
        <v>0</v>
      </c>
      <c r="S482" s="819">
        <f>IF(I482=1,0,E482)</f>
        <v>0.25</v>
      </c>
      <c r="T482" s="860">
        <f>IFERROR(S482/$S$484,0)</f>
        <v>0.25</v>
      </c>
      <c r="U482" s="819">
        <f>S482+(T482*$R$484)</f>
        <v>0.25</v>
      </c>
      <c r="AE482" s="831" t="s">
        <v>79</v>
      </c>
      <c r="AF482" s="830">
        <f>COUNTIF($F$480:$F$497,"Uncertain")</f>
        <v>0</v>
      </c>
      <c r="AG482" s="834">
        <f>AF482/$AF$483</f>
        <v>0</v>
      </c>
      <c r="AK482" s="441"/>
      <c r="AL482" s="441"/>
      <c r="BE482" s="439"/>
    </row>
    <row r="483" spans="2:57" s="440" customFormat="1" ht="15" customHeight="1" x14ac:dyDescent="0.3">
      <c r="B483" s="771" t="str">
        <f>'VI.Institutional Capability'!B33</f>
        <v>(iv)</v>
      </c>
      <c r="C483" s="790" t="str">
        <f>'VI.Institutional Capability'!D33</f>
        <v>Will the contracting agency have access to transaction advisors and/or consultants for project preparation and procurement?</v>
      </c>
      <c r="D483" s="790">
        <f t="shared" si="293"/>
        <v>1</v>
      </c>
      <c r="E483" s="808">
        <f>D133</f>
        <v>0.25</v>
      </c>
      <c r="F483" s="777" t="str">
        <f>'VI.Institutional Capability'!AA33</f>
        <v>Yes</v>
      </c>
      <c r="G483" s="783" t="str">
        <f t="shared" si="288"/>
        <v>Yes</v>
      </c>
      <c r="H483" s="783">
        <f t="shared" si="289"/>
        <v>1</v>
      </c>
      <c r="I483" s="793">
        <f t="shared" si="294"/>
        <v>0</v>
      </c>
      <c r="J483" s="793">
        <f t="shared" si="295"/>
        <v>0</v>
      </c>
      <c r="K483" s="794">
        <f>U483</f>
        <v>0.25</v>
      </c>
      <c r="L483" s="800">
        <f t="shared" si="292"/>
        <v>0.25</v>
      </c>
      <c r="M483" s="886"/>
      <c r="N483" s="777"/>
      <c r="O483" s="777"/>
      <c r="P483" s="777"/>
      <c r="Q483" s="1767">
        <f t="shared" si="296"/>
        <v>0</v>
      </c>
      <c r="R483" s="819">
        <f>IF(I483=1,E483,0)</f>
        <v>0</v>
      </c>
      <c r="S483" s="819">
        <f>IF(I483=1,0,E483)</f>
        <v>0.25</v>
      </c>
      <c r="T483" s="860">
        <f>IFERROR(S483/$S$484,0)</f>
        <v>0.25</v>
      </c>
      <c r="U483" s="819">
        <f>S483+(T483*$R$484)</f>
        <v>0.25</v>
      </c>
      <c r="AE483" s="831" t="s">
        <v>220</v>
      </c>
      <c r="AF483" s="832">
        <f>COUNT(H480:H497)</f>
        <v>16</v>
      </c>
      <c r="AG483" s="780"/>
      <c r="AK483" s="441"/>
      <c r="AL483" s="441"/>
      <c r="BE483" s="439"/>
    </row>
    <row r="484" spans="2:57" s="440" customFormat="1" ht="15" customHeight="1" x14ac:dyDescent="0.3">
      <c r="B484" s="771"/>
      <c r="C484" s="884"/>
      <c r="D484" s="884"/>
      <c r="E484" s="907"/>
      <c r="F484" s="772"/>
      <c r="G484" s="772"/>
      <c r="H484" s="772"/>
      <c r="I484" s="772"/>
      <c r="J484" s="773"/>
      <c r="K484" s="772"/>
      <c r="L484" s="772"/>
      <c r="M484" s="772"/>
      <c r="N484" s="885"/>
      <c r="O484" s="780"/>
      <c r="P484" s="780"/>
      <c r="Q484" s="1766">
        <f>IF(ISERROR(SUM(Q480:Q483)/(H479-I479)),0,SUM(Q480:Q483)/(H479-I479))</f>
        <v>0</v>
      </c>
      <c r="R484" s="876">
        <f>SUM(R480:R483)</f>
        <v>0</v>
      </c>
      <c r="S484" s="876">
        <f t="shared" ref="S484:U484" si="297">SUM(S480:S483)</f>
        <v>1</v>
      </c>
      <c r="T484" s="876">
        <f t="shared" si="297"/>
        <v>1</v>
      </c>
      <c r="U484" s="876">
        <f t="shared" si="297"/>
        <v>1</v>
      </c>
      <c r="AK484" s="441"/>
      <c r="AL484" s="441"/>
      <c r="BE484" s="439"/>
    </row>
    <row r="485" spans="2:57" s="440" customFormat="1" ht="15" customHeight="1" x14ac:dyDescent="0.3">
      <c r="B485" s="870">
        <f>'VI.Institutional Capability'!B35</f>
        <v>2</v>
      </c>
      <c r="C485" s="897" t="str">
        <f>'VI.Institutional Capability'!D35</f>
        <v>Preparedness of the Contracting Agency for the Project</v>
      </c>
      <c r="D485" s="897">
        <f>COUNTIF(D486:D490,1)</f>
        <v>5</v>
      </c>
      <c r="E485" s="908">
        <f>Admin!I33</f>
        <v>0.33333333333333337</v>
      </c>
      <c r="F485" s="872"/>
      <c r="G485" s="872"/>
      <c r="H485" s="1783">
        <f>COUNTA(H486:H490)</f>
        <v>5</v>
      </c>
      <c r="I485" s="1783">
        <f>SUM(I486:I490)</f>
        <v>0</v>
      </c>
      <c r="J485" s="1059">
        <f>COUNTIF(J486:J490,1)/COUNT(J486:J490)</f>
        <v>0</v>
      </c>
      <c r="K485" s="872"/>
      <c r="L485" s="872"/>
      <c r="M485" s="1360">
        <f>MIN(Q485,IF(J485&gt;O303,MIN(O302,IF(OR(F486="No",F490="Yes",COUNTIF(F486:F490,"No")&gt;=3),MIN($O$485,SUM(L486:L490)*$S$197),IF(COUNTIF(H486:H490,0.5)&gt;=3,MIN($O$486,SUM(L486:L490)*$S$197),SUM(L486:L490)*$S$197))),IF(OR(F486="No",F490="Yes",COUNTIF(F486:F490,"No")&gt;=3),MIN($O$485,SUM(L486:L490)*$S$197),IF(COUNTIF(H486:H490,0.5)&gt;=3,MIN($O$486,SUM(L486:L490)*$S$197),SUM(L486:L490)*$S$197))))</f>
        <v>5</v>
      </c>
      <c r="N485" s="915">
        <f>M485*E485</f>
        <v>1.666666666666667</v>
      </c>
      <c r="O485" s="871">
        <v>2</v>
      </c>
      <c r="P485" s="871"/>
      <c r="Q485" s="1784">
        <f>VLOOKUP(Q491,$D$147:$F$150,3)</f>
        <v>5</v>
      </c>
      <c r="R485" s="871"/>
      <c r="S485" s="871"/>
      <c r="T485" s="871"/>
      <c r="U485" s="871"/>
      <c r="AK485" s="441"/>
      <c r="AL485" s="441"/>
      <c r="BE485" s="439"/>
    </row>
    <row r="486" spans="2:57" s="440" customFormat="1" ht="15" customHeight="1" x14ac:dyDescent="0.3">
      <c r="B486" s="771" t="str">
        <f>'VI.Institutional Capability'!B36</f>
        <v>(i)</v>
      </c>
      <c r="C486" s="790" t="str">
        <f>'VI.Institutional Capability'!D36</f>
        <v>Does the proposal have a project plan  for the next stages of the project with identified deadlines and responsibilities allocated?</v>
      </c>
      <c r="D486" s="790">
        <f>IF(C486=0,0,1)</f>
        <v>1</v>
      </c>
      <c r="E486" s="808">
        <f>D134</f>
        <v>0.2</v>
      </c>
      <c r="F486" s="777" t="str">
        <f>'VI.Institutional Capability'!AA36</f>
        <v>Yes</v>
      </c>
      <c r="G486" s="783" t="str">
        <f t="shared" ref="G486:G489" si="298">VLOOKUP(F486,$B$179:$F$184,4,FALSE)</f>
        <v>Yes</v>
      </c>
      <c r="H486" s="783">
        <f t="shared" ref="H486:H490" si="299">VLOOKUP(G486,$B$179:$C$184,2,FALSE)</f>
        <v>1</v>
      </c>
      <c r="I486" s="793">
        <f t="shared" ref="I486:I490" si="300">IF(G486="N/A",1,0)</f>
        <v>0</v>
      </c>
      <c r="J486" s="793">
        <f t="shared" ref="J486:J490" si="301">IF(G486="Skip",1,0)</f>
        <v>0</v>
      </c>
      <c r="K486" s="794">
        <f>U486</f>
        <v>0.2</v>
      </c>
      <c r="L486" s="800">
        <f t="shared" ref="L486:L490" si="302">K486*H486</f>
        <v>0.2</v>
      </c>
      <c r="M486" s="886"/>
      <c r="N486" s="777"/>
      <c r="O486" s="777">
        <v>2.5</v>
      </c>
      <c r="P486" s="777"/>
      <c r="Q486" s="1767">
        <f>IF(OR(G486="Yes",G486="N/A"),0,1)</f>
        <v>0</v>
      </c>
      <c r="R486" s="819">
        <f>IF(I486=1,E486,0)</f>
        <v>0</v>
      </c>
      <c r="S486" s="819">
        <f>IF(I486=1,0,E486)</f>
        <v>0.2</v>
      </c>
      <c r="T486" s="860">
        <f>IFERROR(S486/$S$491,0)</f>
        <v>0.2</v>
      </c>
      <c r="U486" s="819">
        <f>S486+(T486*$R$491)</f>
        <v>0.2</v>
      </c>
      <c r="AK486" s="441"/>
      <c r="AL486" s="441"/>
      <c r="BE486" s="439"/>
    </row>
    <row r="487" spans="2:57" s="440" customFormat="1" ht="15" customHeight="1" x14ac:dyDescent="0.3">
      <c r="B487" s="771" t="str">
        <f>'VI.Institutional Capability'!B37</f>
        <v>(ii)</v>
      </c>
      <c r="C487" s="790" t="str">
        <f>'VI.Institutional Capability'!D37</f>
        <v>Has the contracting agency budgeted funds, or does it have access to funds, to complete project preparation? This includes the costs of preparing required studies, securing land, resettlement costs, and environmental and social impact cost mitigation.</v>
      </c>
      <c r="D487" s="790">
        <f t="shared" ref="D487:D490" si="303">IF(C487=0,0,1)</f>
        <v>1</v>
      </c>
      <c r="E487" s="808">
        <f>D135</f>
        <v>0.2</v>
      </c>
      <c r="F487" s="777" t="str">
        <f>'VI.Institutional Capability'!AA37</f>
        <v>Yes</v>
      </c>
      <c r="G487" s="783" t="str">
        <f t="shared" si="298"/>
        <v>Yes</v>
      </c>
      <c r="H487" s="783">
        <f t="shared" si="299"/>
        <v>1</v>
      </c>
      <c r="I487" s="793">
        <f t="shared" si="300"/>
        <v>0</v>
      </c>
      <c r="J487" s="793">
        <f t="shared" si="301"/>
        <v>0</v>
      </c>
      <c r="K487" s="794">
        <f>U487</f>
        <v>0.2</v>
      </c>
      <c r="L487" s="800">
        <f t="shared" si="302"/>
        <v>0.2</v>
      </c>
      <c r="M487" s="886"/>
      <c r="N487" s="777"/>
      <c r="O487" s="777"/>
      <c r="P487" s="777"/>
      <c r="Q487" s="1767">
        <f t="shared" ref="Q487:Q490" si="304">IF(OR(G487="Yes",G487="N/A"),0,1)</f>
        <v>0</v>
      </c>
      <c r="R487" s="819">
        <f>IF(I487=1,E487,0)</f>
        <v>0</v>
      </c>
      <c r="S487" s="819">
        <f>IF(I487=1,0,E487)</f>
        <v>0.2</v>
      </c>
      <c r="T487" s="860">
        <f>IFERROR(S487/$S$491,0)</f>
        <v>0.2</v>
      </c>
      <c r="U487" s="819">
        <f>S487+(T487*$R$491)</f>
        <v>0.2</v>
      </c>
      <c r="AK487" s="441"/>
      <c r="AL487" s="441"/>
      <c r="BE487" s="439"/>
    </row>
    <row r="488" spans="2:57" s="440" customFormat="1" ht="15" customHeight="1" x14ac:dyDescent="0.3">
      <c r="B488" s="771" t="str">
        <f>'VI.Institutional Capability'!B38</f>
        <v>(iii)</v>
      </c>
      <c r="C488" s="790" t="str">
        <f>'VI.Institutional Capability'!D38</f>
        <v>Does the project plan incorporate a strategic communications plan to engage with internal and external stakeholders of the project during the next stages of the project?</v>
      </c>
      <c r="D488" s="790">
        <f t="shared" si="303"/>
        <v>1</v>
      </c>
      <c r="E488" s="808">
        <f>D136</f>
        <v>0.2</v>
      </c>
      <c r="F488" s="777" t="str">
        <f>'VI.Institutional Capability'!AA38</f>
        <v>Yes</v>
      </c>
      <c r="G488" s="783" t="str">
        <f t="shared" si="298"/>
        <v>Yes</v>
      </c>
      <c r="H488" s="783">
        <f t="shared" si="299"/>
        <v>1</v>
      </c>
      <c r="I488" s="793">
        <f t="shared" si="300"/>
        <v>0</v>
      </c>
      <c r="J488" s="793">
        <f t="shared" si="301"/>
        <v>0</v>
      </c>
      <c r="K488" s="794">
        <f>U488</f>
        <v>0.2</v>
      </c>
      <c r="L488" s="800">
        <f t="shared" si="302"/>
        <v>0.2</v>
      </c>
      <c r="M488" s="886"/>
      <c r="N488" s="777"/>
      <c r="O488" s="777"/>
      <c r="P488" s="777"/>
      <c r="Q488" s="1767">
        <f>IF(OR(G488="Yes",G488="N/A"),0,1)</f>
        <v>0</v>
      </c>
      <c r="R488" s="819">
        <f>IF(I488=1,E488,0)</f>
        <v>0</v>
      </c>
      <c r="S488" s="819">
        <f>IF(I488=1,0,E488)</f>
        <v>0.2</v>
      </c>
      <c r="T488" s="860">
        <f>IFERROR(S488/$S$491,0)</f>
        <v>0.2</v>
      </c>
      <c r="U488" s="819">
        <f>S488+(T488*$R$491)</f>
        <v>0.2</v>
      </c>
      <c r="AK488" s="441"/>
      <c r="AL488" s="441"/>
      <c r="BE488" s="439"/>
    </row>
    <row r="489" spans="2:57" s="440" customFormat="1" ht="15" customHeight="1" x14ac:dyDescent="0.3">
      <c r="B489" s="771" t="str">
        <f>'VI.Institutional Capability'!B39</f>
        <v>(iv)</v>
      </c>
      <c r="C489" s="790" t="str">
        <f>'VI.Institutional Capability'!D39</f>
        <v>Is the contracting agency aware of the requirements for licenses, approvals and permits in case the project covers multiple jurisdictions?</v>
      </c>
      <c r="D489" s="790">
        <f t="shared" si="303"/>
        <v>1</v>
      </c>
      <c r="E489" s="808">
        <f>D137</f>
        <v>0.2</v>
      </c>
      <c r="F489" s="777" t="str">
        <f>'VI.Institutional Capability'!AA39</f>
        <v>Yes</v>
      </c>
      <c r="G489" s="783" t="str">
        <f t="shared" si="298"/>
        <v>Yes</v>
      </c>
      <c r="H489" s="783">
        <f t="shared" si="299"/>
        <v>1</v>
      </c>
      <c r="I489" s="793">
        <f t="shared" si="300"/>
        <v>0</v>
      </c>
      <c r="J489" s="793">
        <f t="shared" si="301"/>
        <v>0</v>
      </c>
      <c r="K489" s="794">
        <f>U489</f>
        <v>0.2</v>
      </c>
      <c r="L489" s="800">
        <f t="shared" si="302"/>
        <v>0.2</v>
      </c>
      <c r="M489" s="886"/>
      <c r="N489" s="777"/>
      <c r="O489" s="777"/>
      <c r="P489" s="777"/>
      <c r="Q489" s="1767">
        <f t="shared" si="304"/>
        <v>0</v>
      </c>
      <c r="R489" s="819">
        <f>IF(I489=1,E489,0)</f>
        <v>0</v>
      </c>
      <c r="S489" s="819">
        <f>IF(I489=1,0,E489)</f>
        <v>0.2</v>
      </c>
      <c r="T489" s="860">
        <f>IFERROR(S489/$S$491,0)</f>
        <v>0.2</v>
      </c>
      <c r="U489" s="819">
        <f>S489+(T489*$R$491)</f>
        <v>0.2</v>
      </c>
      <c r="AK489" s="441"/>
      <c r="AL489" s="441"/>
      <c r="BE489" s="439"/>
    </row>
    <row r="490" spans="2:57" s="440" customFormat="1" ht="15" customHeight="1" x14ac:dyDescent="0.3">
      <c r="B490" s="771" t="str">
        <f>'VI.Institutional Capability'!B40</f>
        <v>(v)</v>
      </c>
      <c r="C490" s="790" t="str">
        <f>'VI.Institutional Capability'!D40</f>
        <v>Are there any constraints that could delay the project from getting to the market?</v>
      </c>
      <c r="D490" s="790">
        <f t="shared" si="303"/>
        <v>1</v>
      </c>
      <c r="E490" s="808">
        <f>D138</f>
        <v>0.2</v>
      </c>
      <c r="F490" s="777" t="str">
        <f>'VI.Institutional Capability'!AA40</f>
        <v>No</v>
      </c>
      <c r="G490" s="783" t="str">
        <f>VLOOKUP(F490,$B$179:$F$184,5,FALSE)</f>
        <v>Yes</v>
      </c>
      <c r="H490" s="783">
        <f t="shared" si="299"/>
        <v>1</v>
      </c>
      <c r="I490" s="793">
        <f t="shared" si="300"/>
        <v>0</v>
      </c>
      <c r="J490" s="793">
        <f t="shared" si="301"/>
        <v>0</v>
      </c>
      <c r="K490" s="794">
        <f>U490</f>
        <v>0.2</v>
      </c>
      <c r="L490" s="800">
        <f t="shared" si="302"/>
        <v>0.2</v>
      </c>
      <c r="M490" s="886"/>
      <c r="N490" s="777"/>
      <c r="O490" s="777"/>
      <c r="P490" s="777"/>
      <c r="Q490" s="1767">
        <f t="shared" si="304"/>
        <v>0</v>
      </c>
      <c r="R490" s="819">
        <f>IF(I490=1,E490,0)</f>
        <v>0</v>
      </c>
      <c r="S490" s="819">
        <f>IF(I490=1,0,E490)</f>
        <v>0.2</v>
      </c>
      <c r="T490" s="860">
        <f>IFERROR(S490/$S$491,0)</f>
        <v>0.2</v>
      </c>
      <c r="U490" s="819">
        <f>S490+(T490*$R$491)</f>
        <v>0.2</v>
      </c>
      <c r="AK490" s="441"/>
      <c r="AL490" s="441"/>
      <c r="BE490" s="439"/>
    </row>
    <row r="491" spans="2:57" s="440" customFormat="1" ht="15" customHeight="1" x14ac:dyDescent="0.3">
      <c r="B491" s="771"/>
      <c r="C491" s="884"/>
      <c r="D491" s="884"/>
      <c r="E491" s="909"/>
      <c r="F491" s="778"/>
      <c r="G491" s="778"/>
      <c r="H491" s="778"/>
      <c r="I491" s="778"/>
      <c r="J491" s="773"/>
      <c r="K491" s="778"/>
      <c r="L491" s="778"/>
      <c r="M491" s="778"/>
      <c r="N491" s="885"/>
      <c r="O491" s="780"/>
      <c r="P491" s="780"/>
      <c r="Q491" s="1766">
        <f>IF(ISERROR(SUM(Q486:Q490)/(H485-I485)),0,SUM(Q486:Q490)/(H485-I485))</f>
        <v>0</v>
      </c>
      <c r="R491" s="876">
        <f>SUM(R486:R490)</f>
        <v>0</v>
      </c>
      <c r="S491" s="876">
        <f t="shared" ref="S491:U491" si="305">SUM(S486:S490)</f>
        <v>1</v>
      </c>
      <c r="T491" s="876">
        <f t="shared" si="305"/>
        <v>1</v>
      </c>
      <c r="U491" s="876">
        <f t="shared" si="305"/>
        <v>1</v>
      </c>
      <c r="AK491" s="441"/>
      <c r="AL491" s="441"/>
      <c r="BE491" s="439"/>
    </row>
    <row r="492" spans="2:57" s="440" customFormat="1" ht="15" customHeight="1" x14ac:dyDescent="0.3">
      <c r="B492" s="870">
        <f>'VI.Institutional Capability'!B42</f>
        <v>3</v>
      </c>
      <c r="C492" s="897" t="str">
        <f>'VI.Institutional Capability'!D42</f>
        <v>Project Execution Capability of the Contracting Agency</v>
      </c>
      <c r="D492" s="897">
        <f>COUNTIF(D493:D497,1)</f>
        <v>5</v>
      </c>
      <c r="E492" s="908">
        <f>Admin!I34</f>
        <v>0.33333333333333337</v>
      </c>
      <c r="F492" s="873"/>
      <c r="G492" s="873"/>
      <c r="H492" s="1783">
        <f>COUNTA(H493:H497)</f>
        <v>5</v>
      </c>
      <c r="I492" s="1783">
        <f>SUM(I493:I497)</f>
        <v>0</v>
      </c>
      <c r="J492" s="1059">
        <f>COUNTIF(J493:J497,1)/COUNT(J493:J497)</f>
        <v>0</v>
      </c>
      <c r="K492" s="873"/>
      <c r="L492" s="873"/>
      <c r="M492" s="1360">
        <f>MIN(Q492,IF(J492&gt;O303,MIN(O302,IF(OR(F493="No",F495="No",COUNTIF(H493:H497,0.5)&gt;=3),MIN($O$492,SUM(L493:L497)*$S$197),SUM(L493:L497)*$S$197)),IF(OR(F493="No",F495="No",COUNTIF(H493:H497,0.5)&gt;=3),MIN($O$492,SUM(L493:L497)*$S$197),SUM(L493:L497)*$S$197)))</f>
        <v>5</v>
      </c>
      <c r="N492" s="915">
        <f>M492*E492</f>
        <v>1.666666666666667</v>
      </c>
      <c r="O492" s="871">
        <v>2.5</v>
      </c>
      <c r="P492" s="871"/>
      <c r="Q492" s="1784">
        <f>VLOOKUP(Q498,$D$147:$F$150,3)</f>
        <v>5</v>
      </c>
      <c r="R492" s="871"/>
      <c r="S492" s="871"/>
      <c r="T492" s="871"/>
      <c r="U492" s="871"/>
      <c r="AK492" s="441"/>
      <c r="AL492" s="441"/>
      <c r="BE492" s="439"/>
    </row>
    <row r="493" spans="2:57" s="440" customFormat="1" ht="15" customHeight="1" x14ac:dyDescent="0.3">
      <c r="B493" s="771" t="str">
        <f>'VI.Institutional Capability'!B43</f>
        <v>(i)</v>
      </c>
      <c r="C493" s="790" t="str">
        <f>'VI.Institutional Capability'!D43</f>
        <v>Does the contracting agency have adequate project management capability as evidenced from successful experience of implementing publicly funded projects in the sector?</v>
      </c>
      <c r="D493" s="790">
        <f t="shared" ref="D493:D497" si="306">IF(C493=0,0,1)</f>
        <v>1</v>
      </c>
      <c r="E493" s="808">
        <f>D139</f>
        <v>0.2</v>
      </c>
      <c r="F493" s="777" t="str">
        <f>'VI.Institutional Capability'!AA43</f>
        <v>Yes</v>
      </c>
      <c r="G493" s="783" t="str">
        <f t="shared" ref="G493:G497" si="307">VLOOKUP(F493,$B$179:$F$184,4,FALSE)</f>
        <v>Yes</v>
      </c>
      <c r="H493" s="783">
        <f t="shared" ref="H493:H497" si="308">VLOOKUP(G493,$B$179:$C$184,2,FALSE)</f>
        <v>1</v>
      </c>
      <c r="I493" s="793">
        <f t="shared" ref="I493:I497" si="309">IF(G493="N/A",1,0)</f>
        <v>0</v>
      </c>
      <c r="J493" s="793">
        <f t="shared" ref="J493:J497" si="310">IF(G493="Skip",1,0)</f>
        <v>0</v>
      </c>
      <c r="K493" s="794">
        <f>U493</f>
        <v>0.2</v>
      </c>
      <c r="L493" s="800">
        <f t="shared" ref="L493:L497" si="311">K493*H493</f>
        <v>0.2</v>
      </c>
      <c r="M493" s="886"/>
      <c r="N493" s="777"/>
      <c r="O493" s="777"/>
      <c r="P493" s="777"/>
      <c r="Q493" s="1767">
        <f>IF(OR(G493="Yes",G493="N/A"),0,1)</f>
        <v>0</v>
      </c>
      <c r="R493" s="819">
        <f>IF(I493=1,E493,0)</f>
        <v>0</v>
      </c>
      <c r="S493" s="819">
        <f>IF(I493=1,0,E493)</f>
        <v>0.2</v>
      </c>
      <c r="T493" s="860">
        <f>IFERROR(S493/$S$498,0)</f>
        <v>0.2</v>
      </c>
      <c r="U493" s="819">
        <f>S493+(T493*$R$498)</f>
        <v>0.2</v>
      </c>
      <c r="AK493" s="441"/>
      <c r="AL493" s="441"/>
      <c r="BE493" s="439"/>
    </row>
    <row r="494" spans="2:57" s="440" customFormat="1" ht="15" customHeight="1" x14ac:dyDescent="0.3">
      <c r="B494" s="771" t="str">
        <f>'VI.Institutional Capability'!B44</f>
        <v>(ii)</v>
      </c>
      <c r="C494" s="790" t="str">
        <f>'VI.Institutional Capability'!D44</f>
        <v>Has the contracting agency been effective in managing key contractual risks and monitoring the performance of PPP projects during their operations phase?</v>
      </c>
      <c r="D494" s="790">
        <f t="shared" si="306"/>
        <v>1</v>
      </c>
      <c r="E494" s="808">
        <f>D140</f>
        <v>0.2</v>
      </c>
      <c r="F494" s="777" t="str">
        <f>'VI.Institutional Capability'!AA44</f>
        <v>Yes</v>
      </c>
      <c r="G494" s="783" t="str">
        <f t="shared" si="307"/>
        <v>Yes</v>
      </c>
      <c r="H494" s="783">
        <f t="shared" si="308"/>
        <v>1</v>
      </c>
      <c r="I494" s="793">
        <f t="shared" si="309"/>
        <v>0</v>
      </c>
      <c r="J494" s="793">
        <f t="shared" si="310"/>
        <v>0</v>
      </c>
      <c r="K494" s="794">
        <f>U494</f>
        <v>0.2</v>
      </c>
      <c r="L494" s="800">
        <f t="shared" si="311"/>
        <v>0.2</v>
      </c>
      <c r="M494" s="886"/>
      <c r="N494" s="777"/>
      <c r="O494" s="777"/>
      <c r="P494" s="777"/>
      <c r="Q494" s="1767">
        <f t="shared" ref="Q494:Q497" si="312">IF(OR(G494="Yes",G494="N/A"),0,1)</f>
        <v>0</v>
      </c>
      <c r="R494" s="819">
        <f>IF(I494=1,E494,0)</f>
        <v>0</v>
      </c>
      <c r="S494" s="819">
        <f>IF(I494=1,0,E494)</f>
        <v>0.2</v>
      </c>
      <c r="T494" s="860">
        <f>IFERROR(S494/$S$498,0)</f>
        <v>0.2</v>
      </c>
      <c r="U494" s="819">
        <f>S494+(T494*$R$498)</f>
        <v>0.2</v>
      </c>
      <c r="AK494" s="441"/>
      <c r="AL494" s="441"/>
      <c r="BE494" s="439"/>
    </row>
    <row r="495" spans="2:57" s="440" customFormat="1" ht="15" customHeight="1" x14ac:dyDescent="0.3">
      <c r="B495" s="771" t="str">
        <f>'VI.Institutional Capability'!B45</f>
        <v>(iii)</v>
      </c>
      <c r="C495" s="790" t="str">
        <f>'VI.Institutional Capability'!D45</f>
        <v xml:space="preserve">Will the PPP project have independent engineers or consultants to oversee the project's construction? </v>
      </c>
      <c r="D495" s="790">
        <f t="shared" si="306"/>
        <v>1</v>
      </c>
      <c r="E495" s="808">
        <f>D141</f>
        <v>0.2</v>
      </c>
      <c r="F495" s="777" t="str">
        <f>'VI.Institutional Capability'!AA45</f>
        <v>Yes</v>
      </c>
      <c r="G495" s="783" t="str">
        <f t="shared" si="307"/>
        <v>Yes</v>
      </c>
      <c r="H495" s="783">
        <f t="shared" si="308"/>
        <v>1</v>
      </c>
      <c r="I495" s="793">
        <f t="shared" si="309"/>
        <v>0</v>
      </c>
      <c r="J495" s="793">
        <f t="shared" si="310"/>
        <v>0</v>
      </c>
      <c r="K495" s="794">
        <f>U495</f>
        <v>0.2</v>
      </c>
      <c r="L495" s="800">
        <f t="shared" si="311"/>
        <v>0.2</v>
      </c>
      <c r="M495" s="886"/>
      <c r="N495" s="777"/>
      <c r="O495" s="777"/>
      <c r="P495" s="777"/>
      <c r="Q495" s="1767">
        <f>IF(OR(G495="Yes",G495="N/A"),0,1)</f>
        <v>0</v>
      </c>
      <c r="R495" s="819">
        <f>IF(I495=1,E495,0)</f>
        <v>0</v>
      </c>
      <c r="S495" s="819">
        <f>IF(I495=1,0,E495)</f>
        <v>0.2</v>
      </c>
      <c r="T495" s="860">
        <f>IFERROR(S495/$S$498,0)</f>
        <v>0.2</v>
      </c>
      <c r="U495" s="819">
        <f>S495+(T495*$R$498)</f>
        <v>0.2</v>
      </c>
      <c r="AK495" s="441"/>
      <c r="AL495" s="441"/>
      <c r="BE495" s="439"/>
    </row>
    <row r="496" spans="2:57" s="440" customFormat="1" ht="15" customHeight="1" x14ac:dyDescent="0.3">
      <c r="B496" s="771" t="str">
        <f>'VI.Institutional Capability'!B46</f>
        <v>(iv)</v>
      </c>
      <c r="C496" s="790" t="str">
        <f>'VI.Institutional Capability'!D46</f>
        <v>Will the contracting agency hire independent consultants or advisors to periodically assess project performance during the operations phase?</v>
      </c>
      <c r="D496" s="790">
        <f t="shared" si="306"/>
        <v>1</v>
      </c>
      <c r="E496" s="808">
        <f>D142</f>
        <v>0.2</v>
      </c>
      <c r="F496" s="777" t="str">
        <f>'VI.Institutional Capability'!AA46</f>
        <v>Yes</v>
      </c>
      <c r="G496" s="783" t="str">
        <f t="shared" si="307"/>
        <v>Yes</v>
      </c>
      <c r="H496" s="783">
        <f t="shared" si="308"/>
        <v>1</v>
      </c>
      <c r="I496" s="793">
        <f t="shared" si="309"/>
        <v>0</v>
      </c>
      <c r="J496" s="793">
        <f t="shared" si="310"/>
        <v>0</v>
      </c>
      <c r="K496" s="794">
        <f>U496</f>
        <v>0.2</v>
      </c>
      <c r="L496" s="800">
        <f t="shared" si="311"/>
        <v>0.2</v>
      </c>
      <c r="M496" s="886"/>
      <c r="N496" s="777"/>
      <c r="O496" s="777"/>
      <c r="P496" s="777"/>
      <c r="Q496" s="1767">
        <f t="shared" si="312"/>
        <v>0</v>
      </c>
      <c r="R496" s="819">
        <f>IF(I496=1,E496,0)</f>
        <v>0</v>
      </c>
      <c r="S496" s="819">
        <f>IF(I496=1,0,E496)</f>
        <v>0.2</v>
      </c>
      <c r="T496" s="860">
        <f>IFERROR(S496/$S$498,0)</f>
        <v>0.2</v>
      </c>
      <c r="U496" s="819">
        <f>S496+(T496*$R$498)</f>
        <v>0.2</v>
      </c>
      <c r="AK496" s="441"/>
      <c r="AL496" s="441"/>
      <c r="BE496" s="439"/>
    </row>
    <row r="497" spans="1:57" s="440" customFormat="1" ht="15" customHeight="1" x14ac:dyDescent="0.3">
      <c r="B497" s="771" t="str">
        <f>'VI.Institutional Capability'!B47</f>
        <v>(v)</v>
      </c>
      <c r="C497" s="790" t="str">
        <f>'VI.Institutional Capability'!D47</f>
        <v>Will the contracting agency insist on project-level disclosure to the public from time to time on the project's performance and meeting contractual obligations?</v>
      </c>
      <c r="D497" s="790">
        <f t="shared" si="306"/>
        <v>1</v>
      </c>
      <c r="E497" s="808">
        <f>D143</f>
        <v>0.2</v>
      </c>
      <c r="F497" s="777" t="str">
        <f>'VI.Institutional Capability'!AA47</f>
        <v>Yes</v>
      </c>
      <c r="G497" s="783" t="str">
        <f t="shared" si="307"/>
        <v>Yes</v>
      </c>
      <c r="H497" s="783">
        <f t="shared" si="308"/>
        <v>1</v>
      </c>
      <c r="I497" s="793">
        <f t="shared" si="309"/>
        <v>0</v>
      </c>
      <c r="J497" s="793">
        <f t="shared" si="310"/>
        <v>0</v>
      </c>
      <c r="K497" s="794">
        <f>U497</f>
        <v>0.2</v>
      </c>
      <c r="L497" s="800">
        <f t="shared" si="311"/>
        <v>0.2</v>
      </c>
      <c r="M497" s="886"/>
      <c r="N497" s="777"/>
      <c r="O497" s="777"/>
      <c r="P497" s="777"/>
      <c r="Q497" s="1767">
        <f t="shared" si="312"/>
        <v>0</v>
      </c>
      <c r="R497" s="819">
        <f>IF(I497=1,E497,0)</f>
        <v>0</v>
      </c>
      <c r="S497" s="819">
        <f>IF(I497=1,0,E497)</f>
        <v>0.2</v>
      </c>
      <c r="T497" s="860">
        <f>IFERROR(S497/$S$498,0)</f>
        <v>0.2</v>
      </c>
      <c r="U497" s="819">
        <f>S497+(T497*$R$498)</f>
        <v>0.2</v>
      </c>
      <c r="AK497" s="441"/>
      <c r="AL497" s="441"/>
      <c r="BE497" s="439"/>
    </row>
    <row r="498" spans="1:57" s="440" customFormat="1" ht="15" customHeight="1" thickBot="1" x14ac:dyDescent="0.35">
      <c r="B498" s="806"/>
      <c r="C498" s="520" t="s">
        <v>564</v>
      </c>
      <c r="D498" s="520"/>
      <c r="E498" s="899">
        <f>$N$492+$N$485+$N$479</f>
        <v>5.0000000000000009</v>
      </c>
      <c r="F498" s="898" t="str">
        <f>VLOOKUP($E$498,$J$198:$L$207,3,TRUE)</f>
        <v>Very Strong</v>
      </c>
      <c r="G498" s="898"/>
      <c r="H498" s="806"/>
      <c r="I498" s="456"/>
      <c r="J498" s="456"/>
      <c r="K498" s="456"/>
      <c r="L498" s="455"/>
      <c r="M498" s="455"/>
      <c r="N498" s="455"/>
      <c r="O498" s="455"/>
      <c r="P498" s="455"/>
      <c r="Q498" s="1766">
        <f>IF(ISERROR(SUM(Q493:Q497)/(H492-I492)),0,SUM(Q493:Q497)/(H492-I492))</f>
        <v>0</v>
      </c>
      <c r="R498" s="923">
        <f>SUM(R493:R497)</f>
        <v>0</v>
      </c>
      <c r="S498" s="923">
        <f t="shared" ref="S498:U498" si="313">SUM(S493:S497)</f>
        <v>1</v>
      </c>
      <c r="T498" s="924">
        <f t="shared" si="313"/>
        <v>1</v>
      </c>
      <c r="U498" s="923">
        <f t="shared" si="313"/>
        <v>1</v>
      </c>
      <c r="AK498" s="441"/>
      <c r="AL498" s="441"/>
      <c r="BE498" s="439"/>
    </row>
    <row r="499" spans="1:57" s="440" customFormat="1" ht="15" customHeight="1" x14ac:dyDescent="0.3">
      <c r="B499" s="522"/>
      <c r="C499" s="523"/>
      <c r="G499" s="524"/>
      <c r="H499" s="525"/>
      <c r="P499" s="513"/>
      <c r="AK499" s="441"/>
      <c r="AL499" s="441"/>
      <c r="BE499" s="439"/>
    </row>
    <row r="500" spans="1:57" s="440" customFormat="1" ht="25.2" x14ac:dyDescent="0.45">
      <c r="A500" s="829" t="s">
        <v>509</v>
      </c>
      <c r="B500" s="439"/>
      <c r="C500" s="439"/>
      <c r="D500" s="439"/>
      <c r="E500" s="439"/>
      <c r="F500" s="439"/>
      <c r="G500" s="439"/>
      <c r="H500" s="439"/>
      <c r="I500" s="439"/>
      <c r="J500" s="439"/>
      <c r="K500" s="439"/>
      <c r="L500" s="439"/>
      <c r="M500" s="439"/>
      <c r="N500" s="439"/>
      <c r="O500" s="439"/>
      <c r="P500" s="439"/>
      <c r="Q500" s="439"/>
      <c r="R500" s="439"/>
      <c r="S500" s="439"/>
      <c r="T500" s="439"/>
      <c r="U500" s="439"/>
      <c r="V500" s="439"/>
      <c r="W500" s="439"/>
      <c r="X500" s="439"/>
      <c r="Y500" s="439"/>
      <c r="Z500" s="439"/>
      <c r="AA500" s="439"/>
      <c r="AB500" s="439"/>
      <c r="AC500" s="439"/>
      <c r="AD500" s="439"/>
      <c r="AE500" s="439"/>
      <c r="AF500" s="439"/>
      <c r="AG500" s="439"/>
      <c r="AH500" s="439"/>
      <c r="AI500" s="439"/>
      <c r="AJ500" s="439"/>
      <c r="AK500" s="439"/>
      <c r="AL500" s="439"/>
      <c r="AM500" s="439"/>
      <c r="AN500" s="439"/>
      <c r="AO500" s="439"/>
      <c r="AP500" s="439"/>
      <c r="AQ500" s="439"/>
      <c r="AR500" s="439"/>
      <c r="AS500" s="439"/>
      <c r="AT500" s="439"/>
      <c r="AU500" s="439"/>
      <c r="AV500" s="439"/>
      <c r="AW500" s="439"/>
      <c r="AX500" s="439"/>
      <c r="AY500" s="439"/>
      <c r="AZ500" s="439"/>
      <c r="BA500" s="439"/>
      <c r="BB500" s="439"/>
      <c r="BC500" s="439"/>
      <c r="BD500" s="439"/>
      <c r="BE500" s="439"/>
    </row>
    <row r="501" spans="1:57" s="440" customFormat="1" x14ac:dyDescent="0.3">
      <c r="A501" s="439"/>
      <c r="B501" s="439"/>
      <c r="C501" s="439"/>
      <c r="D501" s="439"/>
      <c r="E501" s="439"/>
      <c r="F501" s="439"/>
      <c r="G501" s="439"/>
      <c r="H501" s="439"/>
      <c r="I501" s="439"/>
      <c r="J501" s="439"/>
      <c r="K501" s="439"/>
      <c r="L501" s="439"/>
      <c r="M501" s="439"/>
      <c r="N501" s="439"/>
      <c r="O501" s="439"/>
      <c r="P501" s="439"/>
      <c r="Q501" s="439"/>
      <c r="R501" s="439"/>
      <c r="S501" s="439"/>
      <c r="T501" s="439"/>
      <c r="U501" s="439"/>
      <c r="V501" s="439"/>
      <c r="W501" s="439"/>
      <c r="X501" s="439"/>
      <c r="Y501" s="439"/>
      <c r="Z501" s="439"/>
      <c r="AA501" s="439"/>
      <c r="AB501" s="439"/>
      <c r="AC501" s="439"/>
      <c r="AD501" s="439"/>
      <c r="AE501" s="439"/>
      <c r="AF501" s="439"/>
      <c r="AG501" s="439"/>
      <c r="AH501" s="439"/>
      <c r="AI501" s="439"/>
      <c r="AJ501" s="439"/>
      <c r="AK501" s="439"/>
      <c r="AL501" s="439"/>
      <c r="AM501" s="439"/>
      <c r="AN501" s="439"/>
      <c r="AO501" s="439"/>
      <c r="AP501" s="439"/>
      <c r="AQ501" s="439"/>
      <c r="AR501" s="439"/>
      <c r="AS501" s="439"/>
      <c r="AT501" s="439"/>
      <c r="AU501" s="439"/>
      <c r="AV501" s="439"/>
      <c r="AW501" s="439"/>
      <c r="AX501" s="439"/>
      <c r="AY501" s="439"/>
      <c r="AZ501" s="439"/>
      <c r="BA501" s="439"/>
      <c r="BB501" s="439"/>
      <c r="BC501" s="439"/>
      <c r="BD501" s="439"/>
      <c r="BE501" s="439"/>
    </row>
    <row r="502" spans="1:57" x14ac:dyDescent="0.3">
      <c r="A502" s="556"/>
      <c r="B502" s="556"/>
      <c r="C502" s="556"/>
      <c r="D502" s="556"/>
      <c r="E502" s="556"/>
      <c r="F502" s="556"/>
      <c r="G502" s="556"/>
      <c r="H502" s="556"/>
      <c r="I502" s="556"/>
      <c r="J502" s="556"/>
      <c r="K502" s="556"/>
      <c r="L502" s="556"/>
      <c r="M502" s="556"/>
      <c r="N502" s="556"/>
      <c r="O502" s="556"/>
      <c r="P502" s="556"/>
      <c r="Q502" s="556"/>
      <c r="R502" s="556"/>
    </row>
    <row r="503" spans="1:57" x14ac:dyDescent="0.3">
      <c r="A503" s="556"/>
      <c r="B503" s="556"/>
      <c r="C503" s="556"/>
      <c r="D503" s="556"/>
      <c r="E503" s="556"/>
      <c r="F503" s="556"/>
      <c r="G503" s="556"/>
      <c r="I503" s="556"/>
      <c r="J503" s="556"/>
      <c r="K503" s="556"/>
      <c r="L503" s="556"/>
      <c r="M503" s="556"/>
      <c r="N503" s="556"/>
      <c r="O503" s="556"/>
      <c r="P503" s="556"/>
      <c r="Q503" s="556"/>
      <c r="R503" s="556"/>
    </row>
  </sheetData>
  <sheetProtection password="DA20" sheet="1" objects="1" scenarios="1"/>
  <mergeCells count="44">
    <mergeCell ref="E121:E124"/>
    <mergeCell ref="E125:E128"/>
    <mergeCell ref="E134:E138"/>
    <mergeCell ref="E139:E143"/>
    <mergeCell ref="E130:E133"/>
    <mergeCell ref="E91:E94"/>
    <mergeCell ref="E95:E97"/>
    <mergeCell ref="E98:E104"/>
    <mergeCell ref="E107:E114"/>
    <mergeCell ref="E115:E119"/>
    <mergeCell ref="E65:E71"/>
    <mergeCell ref="E72:E75"/>
    <mergeCell ref="E76:E81"/>
    <mergeCell ref="E82:E84"/>
    <mergeCell ref="E85:E90"/>
    <mergeCell ref="E38:E44"/>
    <mergeCell ref="E45:E48"/>
    <mergeCell ref="E49:E57"/>
    <mergeCell ref="E58:E62"/>
    <mergeCell ref="E32:E37"/>
    <mergeCell ref="E11:E13"/>
    <mergeCell ref="E14:E16"/>
    <mergeCell ref="E17:E18"/>
    <mergeCell ref="E19:E22"/>
    <mergeCell ref="E25:E31"/>
    <mergeCell ref="AG470:AK470"/>
    <mergeCell ref="AE462:AF462"/>
    <mergeCell ref="AL370:AL374"/>
    <mergeCell ref="AL375:AL379"/>
    <mergeCell ref="AK382:AL382"/>
    <mergeCell ref="B185:C185"/>
    <mergeCell ref="AD372:AD376"/>
    <mergeCell ref="AD377:AD381"/>
    <mergeCell ref="AE392:AI392"/>
    <mergeCell ref="AC384:AD384"/>
    <mergeCell ref="AD321:AD325"/>
    <mergeCell ref="AD327:AD332"/>
    <mergeCell ref="AC335:AD335"/>
    <mergeCell ref="AE343:AI343"/>
    <mergeCell ref="F85:F94"/>
    <mergeCell ref="AM390:AQ390"/>
    <mergeCell ref="AM382:AN382"/>
    <mergeCell ref="AF450:AF454"/>
    <mergeCell ref="AF455:AF459"/>
  </mergeCells>
  <conditionalFormatting sqref="D198 C204 C199:D203">
    <cfRule type="colorScale" priority="199">
      <colorScale>
        <cfvo type="min"/>
        <cfvo type="percentile" val="50"/>
        <cfvo type="max"/>
        <color rgb="FFF8696B"/>
        <color rgb="FFFFEB84"/>
        <color rgb="FF63BE7B"/>
      </colorScale>
    </cfRule>
  </conditionalFormatting>
  <conditionalFormatting sqref="J198:K207 K200:K208">
    <cfRule type="colorScale" priority="196">
      <colorScale>
        <cfvo type="min"/>
        <cfvo type="percentile" val="50"/>
        <cfvo type="max"/>
        <color rgb="FFF8696B"/>
        <color rgb="FFFFEB84"/>
        <color rgb="FF63BE7B"/>
      </colorScale>
    </cfRule>
  </conditionalFormatting>
  <conditionalFormatting sqref="X278:AA278 X275:Y277">
    <cfRule type="colorScale" priority="166">
      <colorScale>
        <cfvo type="min"/>
        <cfvo type="percentile" val="50"/>
        <cfvo type="max"/>
        <color rgb="FFF8696B"/>
        <color rgb="FFFFEB84"/>
        <color rgb="FF63BE7B"/>
      </colorScale>
    </cfRule>
  </conditionalFormatting>
  <conditionalFormatting sqref="W275:W278">
    <cfRule type="colorScale" priority="165">
      <colorScale>
        <cfvo type="min"/>
        <cfvo type="percentile" val="50"/>
        <cfvo type="max"/>
        <color rgb="FFF8696B"/>
        <color rgb="FFFFEB84"/>
        <color rgb="FF63BE7B"/>
      </colorScale>
    </cfRule>
  </conditionalFormatting>
  <conditionalFormatting sqref="E350">
    <cfRule type="colorScale" priority="159">
      <colorScale>
        <cfvo type="min"/>
        <cfvo type="percentile" val="50"/>
        <cfvo type="max"/>
        <color rgb="FFF8696B"/>
        <color rgb="FFFFEB84"/>
        <color rgb="FF63BE7B"/>
      </colorScale>
    </cfRule>
  </conditionalFormatting>
  <conditionalFormatting sqref="E498">
    <cfRule type="colorScale" priority="142">
      <colorScale>
        <cfvo type="min"/>
        <cfvo type="percentile" val="50"/>
        <cfvo type="max"/>
        <color rgb="FFF8696B"/>
        <color rgb="FFFFEB84"/>
        <color rgb="FF63BE7B"/>
      </colorScale>
    </cfRule>
  </conditionalFormatting>
  <conditionalFormatting sqref="E437">
    <cfRule type="colorScale" priority="140">
      <colorScale>
        <cfvo type="min"/>
        <cfvo type="percentile" val="50"/>
        <cfvo type="max"/>
        <color rgb="FFF8696B"/>
        <color rgb="FFFFEB84"/>
        <color rgb="FF63BE7B"/>
      </colorScale>
    </cfRule>
  </conditionalFormatting>
  <conditionalFormatting sqref="C198">
    <cfRule type="colorScale" priority="125">
      <colorScale>
        <cfvo type="min"/>
        <cfvo type="percentile" val="50"/>
        <cfvo type="max"/>
        <color rgb="FFF8696B"/>
        <color rgb="FFFFEB84"/>
        <color rgb="FF63BE7B"/>
      </colorScale>
    </cfRule>
  </conditionalFormatting>
  <conditionalFormatting sqref="C214:C218">
    <cfRule type="colorScale" priority="124">
      <colorScale>
        <cfvo type="min"/>
        <cfvo type="percentile" val="50"/>
        <cfvo type="max"/>
        <color rgb="FFF8696B"/>
        <color rgb="FFFFEB84"/>
        <color rgb="FF63BE7B"/>
      </colorScale>
    </cfRule>
  </conditionalFormatting>
  <conditionalFormatting sqref="C219:C225">
    <cfRule type="colorScale" priority="123">
      <colorScale>
        <cfvo type="min"/>
        <cfvo type="percentile" val="50"/>
        <cfvo type="max"/>
        <color rgb="FFF8696B"/>
        <color rgb="FFFFEB84"/>
        <color rgb="FF63BE7B"/>
      </colorScale>
    </cfRule>
  </conditionalFormatting>
  <conditionalFormatting sqref="C227:C238">
    <cfRule type="colorScale" priority="122">
      <colorScale>
        <cfvo type="min"/>
        <cfvo type="percentile" val="50"/>
        <cfvo type="max"/>
        <color rgb="FFF8696B"/>
        <color rgb="FFFFEB84"/>
        <color rgb="FF63BE7B"/>
      </colorScale>
    </cfRule>
  </conditionalFormatting>
  <conditionalFormatting sqref="C239:C241">
    <cfRule type="colorScale" priority="121">
      <colorScale>
        <cfvo type="min"/>
        <cfvo type="percentile" val="50"/>
        <cfvo type="max"/>
        <color rgb="FFF8696B"/>
        <color rgb="FFFFEB84"/>
        <color rgb="FF63BE7B"/>
      </colorScale>
    </cfRule>
  </conditionalFormatting>
  <conditionalFormatting sqref="C242:C245">
    <cfRule type="colorScale" priority="120">
      <colorScale>
        <cfvo type="min"/>
        <cfvo type="percentile" val="50"/>
        <cfvo type="max"/>
        <color rgb="FFF8696B"/>
        <color rgb="FFFFEB84"/>
        <color rgb="FF63BE7B"/>
      </colorScale>
    </cfRule>
  </conditionalFormatting>
  <conditionalFormatting sqref="AG284:AG285 AG281">
    <cfRule type="colorScale" priority="118">
      <colorScale>
        <cfvo type="min"/>
        <cfvo type="percentile" val="50"/>
        <cfvo type="max"/>
        <color rgb="FFF8696B"/>
        <color rgb="FFFFEB84"/>
        <color rgb="FF63BE7B"/>
      </colorScale>
    </cfRule>
  </conditionalFormatting>
  <conditionalFormatting sqref="C226">
    <cfRule type="colorScale" priority="117">
      <colorScale>
        <cfvo type="min"/>
        <cfvo type="percentile" val="50"/>
        <cfvo type="max"/>
        <color rgb="FFF8696B"/>
        <color rgb="FFFFEB84"/>
        <color rgb="FF63BE7B"/>
      </colorScale>
    </cfRule>
  </conditionalFormatting>
  <conditionalFormatting sqref="AA307:AB308 Z303:AB304 Z305 X301:X306">
    <cfRule type="colorScale" priority="312">
      <colorScale>
        <cfvo type="min"/>
        <cfvo type="percentile" val="50"/>
        <cfvo type="max"/>
        <color rgb="FFF8696B"/>
        <color rgb="FFFFEB84"/>
        <color rgb="FF63BE7B"/>
      </colorScale>
    </cfRule>
  </conditionalFormatting>
  <conditionalFormatting sqref="V214:V218">
    <cfRule type="colorScale" priority="112">
      <colorScale>
        <cfvo type="min"/>
        <cfvo type="percentile" val="50"/>
        <cfvo type="max"/>
        <color rgb="FFF8696B"/>
        <color rgb="FFFFEB84"/>
        <color rgb="FF63BE7B"/>
      </colorScale>
    </cfRule>
  </conditionalFormatting>
  <conditionalFormatting sqref="V219:V225">
    <cfRule type="colorScale" priority="111">
      <colorScale>
        <cfvo type="min"/>
        <cfvo type="percentile" val="50"/>
        <cfvo type="max"/>
        <color rgb="FFF8696B"/>
        <color rgb="FFFFEB84"/>
        <color rgb="FF63BE7B"/>
      </colorScale>
    </cfRule>
  </conditionalFormatting>
  <conditionalFormatting sqref="V230:V238 V227">
    <cfRule type="colorScale" priority="110">
      <colorScale>
        <cfvo type="min"/>
        <cfvo type="percentile" val="50"/>
        <cfvo type="max"/>
        <color rgb="FFF8696B"/>
        <color rgb="FFFFEB84"/>
        <color rgb="FF63BE7B"/>
      </colorScale>
    </cfRule>
  </conditionalFormatting>
  <conditionalFormatting sqref="V239:V241">
    <cfRule type="colorScale" priority="109">
      <colorScale>
        <cfvo type="min"/>
        <cfvo type="percentile" val="50"/>
        <cfvo type="max"/>
        <color rgb="FFF8696B"/>
        <color rgb="FFFFEB84"/>
        <color rgb="FF63BE7B"/>
      </colorScale>
    </cfRule>
  </conditionalFormatting>
  <conditionalFormatting sqref="V242:V245">
    <cfRule type="colorScale" priority="108">
      <colorScale>
        <cfvo type="min"/>
        <cfvo type="percentile" val="50"/>
        <cfvo type="max"/>
        <color rgb="FFF8696B"/>
        <color rgb="FFFFEB84"/>
        <color rgb="FF63BE7B"/>
      </colorScale>
    </cfRule>
  </conditionalFormatting>
  <conditionalFormatting sqref="V226">
    <cfRule type="colorScale" priority="107">
      <colorScale>
        <cfvo type="min"/>
        <cfvo type="percentile" val="50"/>
        <cfvo type="max"/>
        <color rgb="FFF8696B"/>
        <color rgb="FFFFEB84"/>
        <color rgb="FF63BE7B"/>
      </colorScale>
    </cfRule>
  </conditionalFormatting>
  <conditionalFormatting sqref="V228">
    <cfRule type="colorScale" priority="106">
      <colorScale>
        <cfvo type="min"/>
        <cfvo type="percentile" val="50"/>
        <cfvo type="max"/>
        <color rgb="FFF8696B"/>
        <color rgb="FFFFEB84"/>
        <color rgb="FF63BE7B"/>
      </colorScale>
    </cfRule>
  </conditionalFormatting>
  <conditionalFormatting sqref="V229">
    <cfRule type="colorScale" priority="105">
      <colorScale>
        <cfvo type="min"/>
        <cfvo type="percentile" val="50"/>
        <cfvo type="max"/>
        <color rgb="FFF8696B"/>
        <color rgb="FFFFEB84"/>
        <color rgb="FF63BE7B"/>
      </colorScale>
    </cfRule>
  </conditionalFormatting>
  <conditionalFormatting sqref="E413">
    <cfRule type="colorScale" priority="89">
      <colorScale>
        <cfvo type="min"/>
        <cfvo type="percentile" val="50"/>
        <cfvo type="max"/>
        <color rgb="FFF8696B"/>
        <color rgb="FFFFEB84"/>
        <color rgb="FF63BE7B"/>
      </colorScale>
    </cfRule>
  </conditionalFormatting>
  <conditionalFormatting sqref="E457">
    <cfRule type="colorScale" priority="88">
      <colorScale>
        <cfvo type="min"/>
        <cfvo type="percentile" val="50"/>
        <cfvo type="max"/>
        <color rgb="FFF8696B"/>
        <color rgb="FFFFEB84"/>
        <color rgb="FF63BE7B"/>
      </colorScale>
    </cfRule>
  </conditionalFormatting>
  <conditionalFormatting sqref="X419:X420">
    <cfRule type="colorScale" priority="86">
      <colorScale>
        <cfvo type="min"/>
        <cfvo type="percentile" val="50"/>
        <cfvo type="max"/>
        <color rgb="FFF8696B"/>
        <color rgb="FFFFEB84"/>
        <color rgb="FF63BE7B"/>
      </colorScale>
    </cfRule>
  </conditionalFormatting>
  <conditionalFormatting sqref="X443:X444">
    <cfRule type="colorScale" priority="85">
      <colorScale>
        <cfvo type="min"/>
        <cfvo type="percentile" val="50"/>
        <cfvo type="max"/>
        <color rgb="FFF8696B"/>
        <color rgb="FFFFEB84"/>
        <color rgb="FF63BE7B"/>
      </colorScale>
    </cfRule>
  </conditionalFormatting>
  <conditionalFormatting sqref="X478:X480">
    <cfRule type="colorScale" priority="84">
      <colorScale>
        <cfvo type="min"/>
        <cfvo type="percentile" val="50"/>
        <cfvo type="max"/>
        <color rgb="FFF8696B"/>
        <color rgb="FFFFEB84"/>
        <color rgb="FF63BE7B"/>
      </colorScale>
    </cfRule>
  </conditionalFormatting>
  <conditionalFormatting sqref="AD385 AF468 AD341 AL388">
    <cfRule type="expression" dxfId="55" priority="83">
      <formula>$AH$383=AD341</formula>
    </cfRule>
  </conditionalFormatting>
  <conditionalFormatting sqref="AD386">
    <cfRule type="expression" dxfId="54" priority="82">
      <formula>$AH$383=AD386</formula>
    </cfRule>
  </conditionalFormatting>
  <conditionalFormatting sqref="AD387">
    <cfRule type="expression" dxfId="53" priority="81">
      <formula>$AH$383=AD387</formula>
    </cfRule>
  </conditionalFormatting>
  <conditionalFormatting sqref="AD388">
    <cfRule type="expression" dxfId="52" priority="80">
      <formula>$AH$383=AD388</formula>
    </cfRule>
  </conditionalFormatting>
  <conditionalFormatting sqref="AD389">
    <cfRule type="expression" dxfId="51" priority="79">
      <formula>$AH$383=AD389</formula>
    </cfRule>
  </conditionalFormatting>
  <conditionalFormatting sqref="AD390">
    <cfRule type="expression" dxfId="50" priority="78">
      <formula>$AH$383=AD390</formula>
    </cfRule>
  </conditionalFormatting>
  <conditionalFormatting sqref="AE390">
    <cfRule type="expression" dxfId="49" priority="77">
      <formula>$AH$382=AE390</formula>
    </cfRule>
  </conditionalFormatting>
  <conditionalFormatting sqref="AF390">
    <cfRule type="expression" dxfId="48" priority="76">
      <formula>$AH$382=AF390</formula>
    </cfRule>
  </conditionalFormatting>
  <conditionalFormatting sqref="AG390">
    <cfRule type="expression" dxfId="47" priority="75">
      <formula>$AH$382=AG390</formula>
    </cfRule>
  </conditionalFormatting>
  <conditionalFormatting sqref="AH390">
    <cfRule type="expression" dxfId="46" priority="74">
      <formula>$AH$382=AH390</formula>
    </cfRule>
  </conditionalFormatting>
  <conditionalFormatting sqref="AI390">
    <cfRule type="expression" dxfId="45" priority="73">
      <formula>$AH$382=AI390</formula>
    </cfRule>
  </conditionalFormatting>
  <conditionalFormatting sqref="X356:X363">
    <cfRule type="colorScale" priority="558">
      <colorScale>
        <cfvo type="min"/>
        <cfvo type="percentile" val="50"/>
        <cfvo type="max"/>
        <color rgb="FFF8696B"/>
        <color rgb="FFFFEB84"/>
        <color rgb="FF63BE7B"/>
      </colorScale>
    </cfRule>
  </conditionalFormatting>
  <conditionalFormatting sqref="AF463">
    <cfRule type="expression" dxfId="44" priority="71">
      <formula>$AJ$461=AF463</formula>
    </cfRule>
  </conditionalFormatting>
  <conditionalFormatting sqref="AG468">
    <cfRule type="expression" dxfId="43" priority="65">
      <formula>$AJ$460=AG468</formula>
    </cfRule>
  </conditionalFormatting>
  <conditionalFormatting sqref="AF464">
    <cfRule type="expression" dxfId="42" priority="60">
      <formula>$AJ$461=AF464</formula>
    </cfRule>
  </conditionalFormatting>
  <conditionalFormatting sqref="AF465">
    <cfRule type="expression" dxfId="41" priority="59">
      <formula>$AJ$461=AF465</formula>
    </cfRule>
  </conditionalFormatting>
  <conditionalFormatting sqref="AF466">
    <cfRule type="expression" dxfId="40" priority="58">
      <formula>$AJ$461=AF466</formula>
    </cfRule>
  </conditionalFormatting>
  <conditionalFormatting sqref="AF467">
    <cfRule type="expression" dxfId="39" priority="57">
      <formula>$AJ$461=AF467</formula>
    </cfRule>
  </conditionalFormatting>
  <conditionalFormatting sqref="AH468">
    <cfRule type="expression" dxfId="38" priority="56">
      <formula>$AJ$460=AH468</formula>
    </cfRule>
  </conditionalFormatting>
  <conditionalFormatting sqref="AI468">
    <cfRule type="expression" dxfId="37" priority="55">
      <formula>$AJ$460=AI468</formula>
    </cfRule>
  </conditionalFormatting>
  <conditionalFormatting sqref="AJ468">
    <cfRule type="expression" dxfId="36" priority="54">
      <formula>$AJ$460=AJ468</formula>
    </cfRule>
  </conditionalFormatting>
  <conditionalFormatting sqref="AK468">
    <cfRule type="expression" dxfId="35" priority="53">
      <formula>$AJ$460=AK468</formula>
    </cfRule>
  </conditionalFormatting>
  <conditionalFormatting sqref="AD336">
    <cfRule type="expression" dxfId="34" priority="52">
      <formula>$AH$334=AD336</formula>
    </cfRule>
  </conditionalFormatting>
  <conditionalFormatting sqref="AE341">
    <cfRule type="expression" dxfId="33" priority="46">
      <formula>$AH$333=AE341</formula>
    </cfRule>
  </conditionalFormatting>
  <conditionalFormatting sqref="AD337">
    <cfRule type="expression" dxfId="32" priority="41">
      <formula>$AH$334=AD337</formula>
    </cfRule>
  </conditionalFormatting>
  <conditionalFormatting sqref="AD338">
    <cfRule type="expression" dxfId="31" priority="40">
      <formula>$AH$334=AD338</formula>
    </cfRule>
  </conditionalFormatting>
  <conditionalFormatting sqref="AD339">
    <cfRule type="expression" dxfId="30" priority="39">
      <formula>$AH$334=AD339</formula>
    </cfRule>
  </conditionalFormatting>
  <conditionalFormatting sqref="AD340">
    <cfRule type="expression" dxfId="29" priority="38">
      <formula>$AH$334=AD340</formula>
    </cfRule>
  </conditionalFormatting>
  <conditionalFormatting sqref="AF341">
    <cfRule type="expression" dxfId="28" priority="37">
      <formula>$AH$333=AF341</formula>
    </cfRule>
  </conditionalFormatting>
  <conditionalFormatting sqref="AG341">
    <cfRule type="expression" dxfId="27" priority="36">
      <formula>$AH$333=AG341</formula>
    </cfRule>
  </conditionalFormatting>
  <conditionalFormatting sqref="AH341">
    <cfRule type="expression" dxfId="26" priority="35">
      <formula>$AH$333=AH341</formula>
    </cfRule>
  </conditionalFormatting>
  <conditionalFormatting sqref="AI341">
    <cfRule type="expression" dxfId="25" priority="34">
      <formula>$AH$333=AI341</formula>
    </cfRule>
  </conditionalFormatting>
  <conditionalFormatting sqref="AL383">
    <cfRule type="expression" dxfId="24" priority="33">
      <formula>$AP$381=AL383</formula>
    </cfRule>
  </conditionalFormatting>
  <conditionalFormatting sqref="AM388">
    <cfRule type="expression" dxfId="23" priority="27">
      <formula>$AP$380=AM388</formula>
    </cfRule>
  </conditionalFormatting>
  <conditionalFormatting sqref="AL384">
    <cfRule type="expression" dxfId="22" priority="22">
      <formula>$AP$381=AL384</formula>
    </cfRule>
  </conditionalFormatting>
  <conditionalFormatting sqref="AL385">
    <cfRule type="expression" dxfId="21" priority="21">
      <formula>$AP$381=AL385</formula>
    </cfRule>
  </conditionalFormatting>
  <conditionalFormatting sqref="AL386">
    <cfRule type="expression" dxfId="20" priority="20">
      <formula>$AP$381=AL386</formula>
    </cfRule>
  </conditionalFormatting>
  <conditionalFormatting sqref="AL387">
    <cfRule type="expression" dxfId="19" priority="19">
      <formula>$AP$381=AL387</formula>
    </cfRule>
  </conditionalFormatting>
  <conditionalFormatting sqref="AN388">
    <cfRule type="expression" dxfId="18" priority="18">
      <formula>$AP$380=AN388</formula>
    </cfRule>
  </conditionalFormatting>
  <conditionalFormatting sqref="AO388">
    <cfRule type="expression" dxfId="17" priority="17">
      <formula>$AP$380=AO388</formula>
    </cfRule>
  </conditionalFormatting>
  <conditionalFormatting sqref="AP388">
    <cfRule type="expression" dxfId="16" priority="16">
      <formula>$AP$380=AP388</formula>
    </cfRule>
  </conditionalFormatting>
  <conditionalFormatting sqref="AQ388">
    <cfRule type="expression" dxfId="15" priority="15">
      <formula>$AP$380=AQ388</formula>
    </cfRule>
  </conditionalFormatting>
  <conditionalFormatting sqref="D175:AC175">
    <cfRule type="expression" priority="14">
      <formula>J249=1</formula>
    </cfRule>
  </conditionalFormatting>
  <conditionalFormatting sqref="C175">
    <cfRule type="expression" priority="641">
      <formula>#REF!=1</formula>
    </cfRule>
  </conditionalFormatting>
  <conditionalFormatting sqref="E11:E14 E25 E65 E107 E121 E130 E17 E19 E32 E38 E45 E49 E58 E72 E76 E82 E85 E91 E95 E98 E115 E125 E134 E139">
    <cfRule type="cellIs" dxfId="14" priority="12" operator="greaterThan">
      <formula>1</formula>
    </cfRule>
    <cfRule type="cellIs" dxfId="13" priority="13" operator="lessThan">
      <formula>1</formula>
    </cfRule>
  </conditionalFormatting>
  <conditionalFormatting sqref="Z249">
    <cfRule type="expression" dxfId="12" priority="11">
      <formula>Z249&gt;0</formula>
    </cfRule>
  </conditionalFormatting>
  <conditionalFormatting sqref="AA249">
    <cfRule type="expression" dxfId="11" priority="10">
      <formula>Z249&gt;0</formula>
    </cfRule>
  </conditionalFormatting>
  <conditionalFormatting sqref="AA250">
    <cfRule type="expression" dxfId="10" priority="9">
      <formula>Z250&gt;0</formula>
    </cfRule>
  </conditionalFormatting>
  <conditionalFormatting sqref="AA251">
    <cfRule type="expression" dxfId="9" priority="8">
      <formula>Z251&gt;0</formula>
    </cfRule>
  </conditionalFormatting>
  <conditionalFormatting sqref="AA252">
    <cfRule type="expression" dxfId="8" priority="7">
      <formula>Z252&gt;0</formula>
    </cfRule>
  </conditionalFormatting>
  <conditionalFormatting sqref="AA253">
    <cfRule type="expression" dxfId="7" priority="6">
      <formula>Z253&gt;0</formula>
    </cfRule>
  </conditionalFormatting>
  <conditionalFormatting sqref="AA254">
    <cfRule type="expression" dxfId="6" priority="5">
      <formula>Z254&gt;0</formula>
    </cfRule>
  </conditionalFormatting>
  <conditionalFormatting sqref="AA255">
    <cfRule type="expression" dxfId="5" priority="4">
      <formula>Z255&gt;0</formula>
    </cfRule>
  </conditionalFormatting>
  <conditionalFormatting sqref="AA256">
    <cfRule type="expression" dxfId="4" priority="3">
      <formula>Z256&gt;0</formula>
    </cfRule>
  </conditionalFormatting>
  <conditionalFormatting sqref="F204">
    <cfRule type="expression" dxfId="3" priority="2">
      <formula>OR(G186="Fail",E265&gt;=$D$152)</formula>
    </cfRule>
  </conditionalFormatting>
  <conditionalFormatting sqref="G204">
    <cfRule type="expression" dxfId="2" priority="1">
      <formula>OR(G186="Fail",E265&gt;=$D$152)</formula>
    </cfRule>
  </conditionalFormatting>
  <pageMargins left="0.7" right="0.7" top="0.75" bottom="0.75" header="0.3" footer="0.3"/>
  <pageSetup paperSize="9" orientation="portrait" r:id="rId1"/>
  <ignoredErrors>
    <ignoredError sqref="S426" formula="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0000"/>
  </sheetPr>
  <dimension ref="A1:AQ175"/>
  <sheetViews>
    <sheetView zoomScale="70" zoomScaleNormal="70" workbookViewId="0">
      <pane xSplit="4" ySplit="3" topLeftCell="E4" activePane="bottomRight" state="frozen"/>
      <selection pane="topRight"/>
      <selection pane="bottomLeft"/>
      <selection pane="bottomRight" sqref="A1:D1"/>
    </sheetView>
  </sheetViews>
  <sheetFormatPr defaultColWidth="9.21875" defaultRowHeight="14.4" x14ac:dyDescent="0.3"/>
  <cols>
    <col min="1" max="1" width="7.5546875" style="441" customWidth="1"/>
    <col min="2" max="2" width="28" style="441" customWidth="1"/>
    <col min="3" max="3" width="8" style="441" customWidth="1"/>
    <col min="4" max="4" width="4.44140625" style="441" customWidth="1"/>
    <col min="5" max="5" width="11.5546875" style="441" customWidth="1"/>
    <col min="6" max="6" width="14.5546875" style="441" customWidth="1"/>
    <col min="7" max="7" width="23.44140625" style="441" customWidth="1"/>
    <col min="8" max="8" width="21.44140625" style="441" customWidth="1"/>
    <col min="9" max="9" width="12.5546875" style="441" customWidth="1"/>
    <col min="10" max="10" width="39.21875" style="441" customWidth="1"/>
    <col min="11" max="11" width="12.5546875" style="441" customWidth="1"/>
    <col min="12" max="14" width="9.21875" style="441" customWidth="1"/>
    <col min="15" max="15" width="1" style="441" customWidth="1"/>
    <col min="16" max="16" width="13.5546875" style="441" customWidth="1"/>
    <col min="17" max="26" width="24.77734375" style="441" customWidth="1"/>
    <col min="27" max="28" width="9.21875" style="441"/>
    <col min="29" max="29" width="9.21875" style="441" customWidth="1"/>
    <col min="30" max="30" width="12.5546875" style="441" customWidth="1"/>
    <col min="31" max="31" width="18.21875" style="441" customWidth="1"/>
    <col min="32" max="41" width="15.5546875" style="441" customWidth="1"/>
    <col min="42" max="42" width="9.21875" style="441"/>
    <col min="43" max="43" width="4.21875" style="441" customWidth="1"/>
    <col min="44" max="16384" width="9.21875" style="441"/>
  </cols>
  <sheetData>
    <row r="1" spans="1:43" ht="28.5" customHeight="1" thickBot="1" x14ac:dyDescent="0.6">
      <c r="A1" s="2514" t="s">
        <v>196</v>
      </c>
      <c r="B1" s="2514"/>
      <c r="C1" s="2514"/>
      <c r="D1" s="2514"/>
      <c r="E1" s="1417"/>
      <c r="F1" s="1417"/>
      <c r="G1" s="1417"/>
      <c r="H1" s="1439" t="str">
        <f ca="1">'Data Analysis'!F342</f>
        <v>N/A</v>
      </c>
      <c r="I1" s="1404"/>
      <c r="J1" s="1439">
        <f>'Data Analysis'!F344</f>
        <v>0</v>
      </c>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43" ht="24" thickBot="1" x14ac:dyDescent="0.5">
      <c r="B2" s="1590" t="s">
        <v>644</v>
      </c>
      <c r="F2" s="1591">
        <v>2.5</v>
      </c>
      <c r="H2" s="442"/>
      <c r="I2" s="442"/>
      <c r="M2" s="1648" t="s">
        <v>658</v>
      </c>
      <c r="AC2" s="1657"/>
      <c r="AD2" s="1657"/>
      <c r="AE2" s="1657"/>
      <c r="AF2" s="1660"/>
      <c r="AG2" s="1660"/>
      <c r="AH2" s="1660"/>
      <c r="AI2" s="1660"/>
      <c r="AJ2" s="1660"/>
      <c r="AK2" s="1660"/>
      <c r="AL2" s="1660"/>
      <c r="AM2" s="1660"/>
      <c r="AN2" s="1660"/>
      <c r="AO2" s="1657"/>
      <c r="AQ2" s="462"/>
    </row>
    <row r="3" spans="1:43" ht="30.75" customHeight="1" x14ac:dyDescent="0.3">
      <c r="A3" s="1445" t="s">
        <v>31</v>
      </c>
      <c r="B3" s="2515" t="s">
        <v>0</v>
      </c>
      <c r="C3" s="2515"/>
      <c r="D3" s="2515"/>
      <c r="E3" s="1446"/>
      <c r="F3" s="1446"/>
      <c r="G3" s="1446" t="s">
        <v>219</v>
      </c>
      <c r="H3" s="1446" t="s">
        <v>195</v>
      </c>
      <c r="I3" s="1446"/>
      <c r="J3" s="1447" t="s">
        <v>691</v>
      </c>
      <c r="K3" s="1403"/>
      <c r="M3" s="1644">
        <v>1</v>
      </c>
      <c r="N3" s="1403"/>
      <c r="O3" s="1403"/>
      <c r="P3" s="1436"/>
      <c r="Q3" s="1437" t="s">
        <v>17</v>
      </c>
      <c r="R3" s="1437" t="s">
        <v>18</v>
      </c>
      <c r="S3" s="1437" t="s">
        <v>19</v>
      </c>
      <c r="T3" s="1437" t="s">
        <v>26</v>
      </c>
      <c r="U3" s="1437" t="s">
        <v>20</v>
      </c>
      <c r="V3" s="1437" t="s">
        <v>21</v>
      </c>
      <c r="W3" s="1437" t="s">
        <v>22</v>
      </c>
      <c r="X3" s="1437" t="s">
        <v>23</v>
      </c>
      <c r="Y3" s="1437" t="s">
        <v>197</v>
      </c>
      <c r="Z3" s="1438" t="s">
        <v>25</v>
      </c>
      <c r="AC3" s="1658" t="s">
        <v>665</v>
      </c>
      <c r="AD3" s="1483"/>
      <c r="AE3" s="1602"/>
      <c r="AF3" s="1437" t="s">
        <v>17</v>
      </c>
      <c r="AG3" s="1437" t="s">
        <v>18</v>
      </c>
      <c r="AH3" s="1437" t="s">
        <v>19</v>
      </c>
      <c r="AI3" s="1437" t="s">
        <v>26</v>
      </c>
      <c r="AJ3" s="1437" t="s">
        <v>20</v>
      </c>
      <c r="AK3" s="1437" t="s">
        <v>21</v>
      </c>
      <c r="AL3" s="1437" t="s">
        <v>22</v>
      </c>
      <c r="AM3" s="1437" t="s">
        <v>23</v>
      </c>
      <c r="AN3" s="1437" t="s">
        <v>197</v>
      </c>
      <c r="AO3" s="1438" t="s">
        <v>25</v>
      </c>
      <c r="AQ3" s="462"/>
    </row>
    <row r="4" spans="1:43" ht="98.25" customHeight="1" x14ac:dyDescent="0.3">
      <c r="A4" s="1498" t="str">
        <f>Admin!B4</f>
        <v>I</v>
      </c>
      <c r="B4" s="2516" t="str">
        <f>Admin!C4</f>
        <v>Strategic Suitability</v>
      </c>
      <c r="C4" s="2516"/>
      <c r="D4" s="2516"/>
      <c r="E4" s="1499">
        <f>'Data Analysis'!D198</f>
        <v>5</v>
      </c>
      <c r="F4" s="1499">
        <v>4</v>
      </c>
      <c r="G4" s="1500">
        <f>AVERAGE(E6:E9)</f>
        <v>5</v>
      </c>
      <c r="H4" s="1454" t="str">
        <f>'Data Analysis'!G198</f>
        <v>Very Strong</v>
      </c>
      <c r="I4" s="1455" t="s">
        <v>259</v>
      </c>
      <c r="J4" s="1501" t="str">
        <f>IF(OR(E123&gt;0,F123&gt;0),J123,HLOOKUP($H$4,$Q$3:$Z$42,M4,FALSE))</f>
        <v>The project is an excellent fit with strategic suitability. It strongly aligns with government priorities. The project has been scoped out based on clear articulation of service needs and after examining various service delivery options.</v>
      </c>
      <c r="K4" s="449"/>
      <c r="L4" s="1443"/>
      <c r="M4" s="1645">
        <f t="shared" ref="M4:M43" si="0">M3+1</f>
        <v>2</v>
      </c>
      <c r="N4" s="2512" t="s">
        <v>247</v>
      </c>
      <c r="O4" s="2512"/>
      <c r="P4" s="1480" t="s">
        <v>259</v>
      </c>
      <c r="Q4" s="1848" t="s">
        <v>782</v>
      </c>
      <c r="R4" s="1848" t="s">
        <v>994</v>
      </c>
      <c r="S4" s="1848" t="s">
        <v>621</v>
      </c>
      <c r="T4" s="1848" t="s">
        <v>622</v>
      </c>
      <c r="U4" s="1848" t="s">
        <v>1007</v>
      </c>
      <c r="V4" s="1848" t="s">
        <v>1006</v>
      </c>
      <c r="W4" s="1848" t="s">
        <v>1017</v>
      </c>
      <c r="X4" s="1848" t="s">
        <v>1018</v>
      </c>
      <c r="Y4" s="1848" t="s">
        <v>1019</v>
      </c>
      <c r="Z4" s="1849" t="s">
        <v>1020</v>
      </c>
      <c r="AC4" s="1577" t="s">
        <v>258</v>
      </c>
      <c r="AD4" s="1578"/>
      <c r="AE4" s="1578" t="s">
        <v>259</v>
      </c>
      <c r="AF4" s="1484" t="str">
        <f ca="1">IF($AE$23&gt;=1,AF10,AF7)</f>
        <v>The project is strongly suited to be developed as a PPP. Proceed with project preparation.</v>
      </c>
      <c r="AG4" s="1484" t="str">
        <f t="shared" ref="AG4:AO4" ca="1" si="1">IF($AE$23&gt;=1,AG10,AG7)</f>
        <v>The project is strongly suited to be developed as a PPP. Proceed with project preparation.</v>
      </c>
      <c r="AH4" s="1484" t="str">
        <f t="shared" ca="1" si="1"/>
        <v>The project is well suited to be developed as a PPP. Proceed with project preparation but prepare a clear strategy to address the identified issues .</v>
      </c>
      <c r="AI4" s="1484" t="str">
        <f t="shared" ca="1" si="1"/>
        <v>The project is potentially suited to be developed as a PPP. Proceed with project preparation but prepare a clear strategy to address the identified issues.</v>
      </c>
      <c r="AJ4" s="1484" t="str">
        <f t="shared" ca="1" si="1"/>
        <v>The project is marginally suited as a PPP. Proceed only if the gaps are considered addressable in the feasibility study stage.</v>
      </c>
      <c r="AK4" s="1484" t="str">
        <f t="shared" ca="1" si="1"/>
        <v>The project's suitability as a PPP is not well established. Please address the information gaps to restructure and reassess the project. Do not proceed to the feasibility study stage in the present state of the project.</v>
      </c>
      <c r="AL4" s="1484" t="str">
        <f t="shared" ca="1" si="1"/>
        <v>The project's suitability as a PPP is not established. Please modify the project characteristics, address information gaps and reassess the project. Do not proceed to the feasibility study stage in the present state of the project.</v>
      </c>
      <c r="AM4" s="1484" t="str">
        <f t="shared" ca="1" si="1"/>
        <v>The project does not  appear suitable as a PPP. Revisit the project concept, fill data gaps, restructure and reassess. Do not proceed to the feasibility study stage in the present state of the project.</v>
      </c>
      <c r="AN4" s="1484" t="str">
        <f t="shared" ca="1" si="1"/>
        <v>The project is not suitable as a PPP. It is deficient in several areas. Revisit the project concept, fill data gaps, restructure and reassess. Do not proceed to the feasibility study stage in the present state of the project.</v>
      </c>
      <c r="AO4" s="1484" t="str">
        <f t="shared" ca="1" si="1"/>
        <v>The project is materially deficient to be considered further in its present form. Do not proceed to the feasibility study stage.</v>
      </c>
      <c r="AQ4" s="462"/>
    </row>
    <row r="5" spans="1:43" ht="98.25" customHeight="1" thickBot="1" x14ac:dyDescent="0.35">
      <c r="A5" s="1502"/>
      <c r="B5" s="1503"/>
      <c r="C5" s="1503"/>
      <c r="D5" s="1503"/>
      <c r="E5" s="1504"/>
      <c r="F5" s="1504"/>
      <c r="G5" s="1505"/>
      <c r="H5" s="1456"/>
      <c r="I5" s="1457" t="s">
        <v>260</v>
      </c>
      <c r="J5" s="1506" t="str">
        <f>J124</f>
        <v xml:space="preserve">         .</v>
      </c>
      <c r="K5" s="449"/>
      <c r="L5" s="1443"/>
      <c r="M5" s="1645">
        <f t="shared" si="0"/>
        <v>3</v>
      </c>
      <c r="N5" s="1833"/>
      <c r="O5" s="1833"/>
      <c r="P5" s="1481" t="s">
        <v>260</v>
      </c>
      <c r="Q5" s="1850" t="s">
        <v>262</v>
      </c>
      <c r="R5" s="1850" t="s">
        <v>262</v>
      </c>
      <c r="S5" s="1850" t="s">
        <v>263</v>
      </c>
      <c r="T5" s="1850" t="s">
        <v>263</v>
      </c>
      <c r="U5" s="1850" t="s">
        <v>294</v>
      </c>
      <c r="V5" s="1850" t="s">
        <v>289</v>
      </c>
      <c r="W5" s="1850" t="s">
        <v>289</v>
      </c>
      <c r="X5" s="1850" t="s">
        <v>286</v>
      </c>
      <c r="Y5" s="1850" t="s">
        <v>286</v>
      </c>
      <c r="Z5" s="1851"/>
      <c r="AC5" s="1579" t="s">
        <v>258</v>
      </c>
      <c r="AD5" s="1580"/>
      <c r="AE5" s="1580" t="s">
        <v>260</v>
      </c>
      <c r="AF5" s="1484" t="str">
        <f ca="1">IF($AE$23&gt;=1,AF11,AF8)</f>
        <v xml:space="preserve">Prepare a comprehensive feasibility study to firm up the project fundamentals prior to the private partner procurement process. </v>
      </c>
      <c r="AG5" s="1484" t="str">
        <f t="shared" ref="AG5:AN5" ca="1" si="2">IF($AE$23&gt;=1,AG11,AG8)</f>
        <v xml:space="preserve">Prepare a comprehensive feasibility study to firm up the project fundamentals prior to the private partner procurement process. </v>
      </c>
      <c r="AH5" s="1484" t="str">
        <f t="shared" ca="1" si="2"/>
        <v>Prepare a comprehensive feasibility study to firm up the project fundamentals and address the identified issues.</v>
      </c>
      <c r="AI5" s="1484" t="str">
        <f t="shared" ca="1" si="2"/>
        <v>Prepare a comprehensive feasibility study to firm up the project fundamentals and address the identified issues.</v>
      </c>
      <c r="AJ5" s="1484" t="str">
        <f t="shared" ca="1" si="2"/>
        <v>The identified areas would need further examination and strengthening.</v>
      </c>
      <c r="AK5" s="1484" t="str">
        <f t="shared" ca="1" si="2"/>
        <v>The identified areas will need restructuring and re-assessment.</v>
      </c>
      <c r="AL5" s="1484" t="str">
        <f t="shared" ca="1" si="2"/>
        <v>The identified areas will need restructuring and re-assessment.</v>
      </c>
      <c r="AM5" s="1484" t="str">
        <f t="shared" ca="1" si="2"/>
        <v>Although the entire project proposal needs to be revisited, specifically the identified areas will need restructuring and re-assessment.</v>
      </c>
      <c r="AN5" s="1484" t="str">
        <f t="shared" ca="1" si="2"/>
        <v>Although the entire project proposal needs to be revisited, specifically the identified areas will need restructuring and re-assessment.</v>
      </c>
      <c r="AO5" s="1487"/>
      <c r="AQ5" s="462"/>
    </row>
    <row r="6" spans="1:43" ht="33.75" customHeight="1" thickTop="1" x14ac:dyDescent="0.3">
      <c r="A6" s="1507">
        <f>Admin!C5</f>
        <v>1</v>
      </c>
      <c r="B6" s="444" t="str">
        <f>CONCATENATE(Admin!D5,"")</f>
        <v>Alignment with government priorities</v>
      </c>
      <c r="C6" s="1508"/>
      <c r="D6" s="447"/>
      <c r="E6" s="445">
        <f>Admin!J5</f>
        <v>5</v>
      </c>
      <c r="F6" s="445" t="str">
        <f>IF(E6&lt;$F$2,B6,"")</f>
        <v/>
      </c>
      <c r="G6" s="1509"/>
      <c r="H6" s="446"/>
      <c r="I6" s="1451"/>
      <c r="J6" s="1510" t="str">
        <f t="shared" ref="J6:J9" si="3">HLOOKUP($H$4,$Q$3:$Z$42,M6,FALSE)</f>
        <v>abc</v>
      </c>
      <c r="K6" s="1511"/>
      <c r="L6" s="940"/>
      <c r="M6" s="1645">
        <f t="shared" si="0"/>
        <v>4</v>
      </c>
      <c r="N6" s="1834"/>
      <c r="O6" s="1834" t="s">
        <v>62</v>
      </c>
      <c r="P6" s="1482"/>
      <c r="Q6" s="1852" t="s">
        <v>210</v>
      </c>
      <c r="R6" s="1852"/>
      <c r="S6" s="1852" t="s">
        <v>211</v>
      </c>
      <c r="T6" s="1852" t="s">
        <v>212</v>
      </c>
      <c r="U6" s="1852" t="s">
        <v>213</v>
      </c>
      <c r="V6" s="1852" t="s">
        <v>214</v>
      </c>
      <c r="W6" s="1852" t="s">
        <v>215</v>
      </c>
      <c r="X6" s="1852" t="s">
        <v>216</v>
      </c>
      <c r="Y6" s="1852" t="s">
        <v>217</v>
      </c>
      <c r="Z6" s="1853" t="s">
        <v>218</v>
      </c>
      <c r="AC6" s="1601" t="str">
        <f>CONCATENATE("Comments when all parameters are above ",$F$2,".")</f>
        <v>Comments when all parameters are above 2.5.</v>
      </c>
      <c r="AD6" s="1598"/>
      <c r="AE6" s="1599"/>
      <c r="AF6" s="1600"/>
      <c r="AG6" s="1600"/>
      <c r="AH6" s="1598"/>
      <c r="AI6" s="1598"/>
      <c r="AJ6" s="1598"/>
      <c r="AK6" s="1598"/>
      <c r="AL6" s="1598"/>
      <c r="AM6" s="1598"/>
      <c r="AN6" s="1598"/>
      <c r="AO6" s="1598"/>
      <c r="AQ6" s="462"/>
    </row>
    <row r="7" spans="1:43" ht="280.8" x14ac:dyDescent="0.3">
      <c r="A7" s="1507">
        <f>Admin!C6</f>
        <v>2</v>
      </c>
      <c r="B7" s="444" t="str">
        <f>CONCATENATE(Admin!D6,"")</f>
        <v>Identification of service need</v>
      </c>
      <c r="C7" s="1508"/>
      <c r="D7" s="447"/>
      <c r="E7" s="445">
        <f>Admin!J6</f>
        <v>5</v>
      </c>
      <c r="F7" s="445" t="str">
        <f t="shared" ref="F7:F9" si="4">IF(E7&lt;$F$2,B7,"")</f>
        <v/>
      </c>
      <c r="G7" s="1509"/>
      <c r="H7" s="446"/>
      <c r="I7" s="1451"/>
      <c r="J7" s="1510" t="str">
        <f t="shared" si="3"/>
        <v>abc</v>
      </c>
      <c r="K7" s="1511"/>
      <c r="L7" s="940"/>
      <c r="M7" s="1645">
        <f t="shared" si="0"/>
        <v>5</v>
      </c>
      <c r="N7" s="1834"/>
      <c r="O7" s="1834" t="s">
        <v>57</v>
      </c>
      <c r="P7" s="1482"/>
      <c r="Q7" s="1852" t="s">
        <v>210</v>
      </c>
      <c r="R7" s="1852"/>
      <c r="S7" s="1852" t="s">
        <v>211</v>
      </c>
      <c r="T7" s="1852" t="s">
        <v>212</v>
      </c>
      <c r="U7" s="1852" t="s">
        <v>213</v>
      </c>
      <c r="V7" s="1852" t="s">
        <v>214</v>
      </c>
      <c r="W7" s="1852" t="s">
        <v>215</v>
      </c>
      <c r="X7" s="1852" t="s">
        <v>216</v>
      </c>
      <c r="Y7" s="1852" t="s">
        <v>217</v>
      </c>
      <c r="Z7" s="1853" t="s">
        <v>218</v>
      </c>
      <c r="AC7" s="1577" t="s">
        <v>258</v>
      </c>
      <c r="AD7" s="1578"/>
      <c r="AE7" s="1578" t="s">
        <v>259</v>
      </c>
      <c r="AF7" s="1484" t="s">
        <v>1034</v>
      </c>
      <c r="AG7" s="1484" t="s">
        <v>1034</v>
      </c>
      <c r="AH7" s="1484" t="s">
        <v>1035</v>
      </c>
      <c r="AI7" s="1484" t="s">
        <v>1036</v>
      </c>
      <c r="AJ7" s="1484" t="s">
        <v>1037</v>
      </c>
      <c r="AK7" s="1484" t="s">
        <v>1038</v>
      </c>
      <c r="AL7" s="1484" t="s">
        <v>1039</v>
      </c>
      <c r="AM7" s="1484" t="s">
        <v>1040</v>
      </c>
      <c r="AN7" s="1484" t="s">
        <v>1041</v>
      </c>
      <c r="AO7" s="1485" t="s">
        <v>1042</v>
      </c>
      <c r="AQ7" s="462"/>
    </row>
    <row r="8" spans="1:43" ht="35.25" customHeight="1" thickBot="1" x14ac:dyDescent="0.35">
      <c r="A8" s="1507">
        <f>Admin!C7</f>
        <v>3</v>
      </c>
      <c r="B8" s="444" t="str">
        <f>CONCATENATE(Admin!D7,"")</f>
        <v>Assessment of service delivery options</v>
      </c>
      <c r="C8" s="1508"/>
      <c r="D8" s="447"/>
      <c r="E8" s="445">
        <f>Admin!J7</f>
        <v>5</v>
      </c>
      <c r="F8" s="445" t="str">
        <f t="shared" si="4"/>
        <v/>
      </c>
      <c r="G8" s="1509"/>
      <c r="H8" s="446"/>
      <c r="I8" s="1451"/>
      <c r="J8" s="1510" t="str">
        <f t="shared" si="3"/>
        <v>abc</v>
      </c>
      <c r="K8" s="1511"/>
      <c r="L8" s="940"/>
      <c r="M8" s="1645">
        <f t="shared" si="0"/>
        <v>6</v>
      </c>
      <c r="N8" s="1834"/>
      <c r="O8" s="1834" t="s">
        <v>58</v>
      </c>
      <c r="P8" s="1482"/>
      <c r="Q8" s="1852" t="s">
        <v>210</v>
      </c>
      <c r="R8" s="1852"/>
      <c r="S8" s="1852" t="s">
        <v>211</v>
      </c>
      <c r="T8" s="1852" t="s">
        <v>212</v>
      </c>
      <c r="U8" s="1852" t="s">
        <v>213</v>
      </c>
      <c r="V8" s="1852" t="s">
        <v>214</v>
      </c>
      <c r="W8" s="1852" t="s">
        <v>215</v>
      </c>
      <c r="X8" s="1852" t="s">
        <v>216</v>
      </c>
      <c r="Y8" s="1852" t="s">
        <v>217</v>
      </c>
      <c r="Z8" s="1853" t="s">
        <v>218</v>
      </c>
      <c r="AC8" s="1579" t="s">
        <v>258</v>
      </c>
      <c r="AD8" s="1580"/>
      <c r="AE8" s="1580" t="s">
        <v>260</v>
      </c>
      <c r="AF8" s="1486" t="s">
        <v>261</v>
      </c>
      <c r="AG8" s="1486" t="s">
        <v>261</v>
      </c>
      <c r="AH8" s="1486" t="s">
        <v>287</v>
      </c>
      <c r="AI8" s="1486" t="s">
        <v>287</v>
      </c>
      <c r="AJ8" s="1486" t="s">
        <v>288</v>
      </c>
      <c r="AK8" s="1486" t="s">
        <v>289</v>
      </c>
      <c r="AL8" s="1486" t="s">
        <v>289</v>
      </c>
      <c r="AM8" s="1486" t="s">
        <v>286</v>
      </c>
      <c r="AN8" s="1486" t="s">
        <v>286</v>
      </c>
      <c r="AO8" s="1487"/>
      <c r="AQ8" s="462"/>
    </row>
    <row r="9" spans="1:43" ht="38.25" customHeight="1" x14ac:dyDescent="0.3">
      <c r="A9" s="1507">
        <f>Admin!C8</f>
        <v>4</v>
      </c>
      <c r="B9" s="444" t="str">
        <f>CONCATENATE(Admin!D8,"")</f>
        <v>Scoping of the project</v>
      </c>
      <c r="C9" s="1508"/>
      <c r="D9" s="447"/>
      <c r="E9" s="445">
        <f>Admin!J8</f>
        <v>5</v>
      </c>
      <c r="F9" s="445" t="str">
        <f t="shared" si="4"/>
        <v/>
      </c>
      <c r="G9" s="1509"/>
      <c r="H9" s="446"/>
      <c r="I9" s="1451"/>
      <c r="J9" s="1510" t="str">
        <f t="shared" si="3"/>
        <v>abc</v>
      </c>
      <c r="K9" s="1511"/>
      <c r="L9" s="940"/>
      <c r="M9" s="1645">
        <f t="shared" si="0"/>
        <v>7</v>
      </c>
      <c r="N9" s="1834"/>
      <c r="O9" s="1834" t="s">
        <v>59</v>
      </c>
      <c r="P9" s="1482"/>
      <c r="Q9" s="1852" t="s">
        <v>210</v>
      </c>
      <c r="R9" s="1852"/>
      <c r="S9" s="1852" t="s">
        <v>211</v>
      </c>
      <c r="T9" s="1852" t="s">
        <v>212</v>
      </c>
      <c r="U9" s="1852" t="s">
        <v>213</v>
      </c>
      <c r="V9" s="1852" t="s">
        <v>214</v>
      </c>
      <c r="W9" s="1852" t="s">
        <v>215</v>
      </c>
      <c r="X9" s="1852" t="s">
        <v>216</v>
      </c>
      <c r="Y9" s="1852" t="s">
        <v>217</v>
      </c>
      <c r="Z9" s="1853" t="s">
        <v>218</v>
      </c>
      <c r="AC9" s="1601" t="str">
        <f>CONCATENATE("Comments when one or more parameter(s) is(are) below ",$F$2,".")</f>
        <v>Comments when one or more parameter(s) is(are) below 2.5.</v>
      </c>
      <c r="AD9" s="806"/>
      <c r="AE9" s="806"/>
      <c r="AF9" s="806"/>
      <c r="AG9" s="806"/>
      <c r="AH9" s="806"/>
      <c r="AI9" s="806"/>
      <c r="AJ9" s="806"/>
      <c r="AK9" s="806"/>
      <c r="AL9" s="806"/>
      <c r="AM9" s="806"/>
      <c r="AN9" s="806"/>
      <c r="AO9" s="806"/>
      <c r="AQ9" s="462"/>
    </row>
    <row r="10" spans="1:43" ht="358.8" x14ac:dyDescent="0.3">
      <c r="A10" s="1512" t="str">
        <f>Admin!B9</f>
        <v>II</v>
      </c>
      <c r="B10" s="2517" t="str">
        <f>Admin!C9</f>
        <v>Preliminary Feasibility</v>
      </c>
      <c r="C10" s="2517"/>
      <c r="D10" s="2517"/>
      <c r="E10" s="1513">
        <f ca="1">'Data Analysis'!D199</f>
        <v>5</v>
      </c>
      <c r="F10" s="1513">
        <f>F4</f>
        <v>4</v>
      </c>
      <c r="G10" s="1514">
        <f ca="1">AVERAGE(E13:E18)</f>
        <v>5</v>
      </c>
      <c r="H10" s="1458" t="str">
        <f ca="1">'Data Analysis'!G199</f>
        <v>Very Strong</v>
      </c>
      <c r="I10" s="1459" t="s">
        <v>264</v>
      </c>
      <c r="J10" s="1515" t="str">
        <f ca="1">IF(OR(E132&gt;0,F132&gt;0),J132,HLOOKUP($H$10,$Q$3:$Z$42,M10,FALSE))</f>
        <v xml:space="preserve">The preliminary feasibility analysis indicates the project is extremely likely to be feasible on an overall basis and therefore strongly suitable to be taken forward. 
</v>
      </c>
      <c r="K10" s="1516"/>
      <c r="L10" s="940"/>
      <c r="M10" s="1645">
        <f t="shared" si="0"/>
        <v>8</v>
      </c>
      <c r="N10" s="2521" t="s">
        <v>248</v>
      </c>
      <c r="O10" s="2521"/>
      <c r="P10" s="1480" t="s">
        <v>285</v>
      </c>
      <c r="Q10" s="1848" t="s">
        <v>265</v>
      </c>
      <c r="R10" s="1848" t="s">
        <v>266</v>
      </c>
      <c r="S10" s="1848" t="s">
        <v>269</v>
      </c>
      <c r="T10" s="1848" t="s">
        <v>1008</v>
      </c>
      <c r="U10" s="1848" t="s">
        <v>1009</v>
      </c>
      <c r="V10" s="1848" t="s">
        <v>267</v>
      </c>
      <c r="W10" s="1848" t="s">
        <v>1021</v>
      </c>
      <c r="X10" s="1848" t="s">
        <v>1022</v>
      </c>
      <c r="Y10" s="1848" t="s">
        <v>1023</v>
      </c>
      <c r="Z10" s="1849" t="s">
        <v>1024</v>
      </c>
      <c r="AC10" s="1577" t="s">
        <v>258</v>
      </c>
      <c r="AD10" s="1578"/>
      <c r="AE10" s="1578" t="s">
        <v>259</v>
      </c>
      <c r="AF10" s="1484" t="str">
        <f ca="1">CONCATENATE(IF($AE$23&gt;1,"Although the project is strongly suited to be developed as a PPP, some weaknesses in parameters have been identified. Please prepare a clear strategy to strengthen them","Although the project is strongly suited to be developed as a PPP, a weak parameter has been identified. Please prepare a clear strategy to strengthen it")," and proceed to prepare a comprehensive feasibility study to firm up the project fundamentals prior to the private partner procurement process.")</f>
        <v>Although the project is strongly suited to be developed as a PPP, a weak parameter has been identified. Please prepare a clear strategy to strengthen it and proceed to prepare a comprehensive feasibility study to firm up the project fundamentals prior to the private partner procurement process.</v>
      </c>
      <c r="AG10" s="1484" t="str">
        <f ca="1">CONCATENATE(IF($AE$23&gt;1,"Although the project is strongly suited to be developed as a PPP, some weaknesses in parameters have been identified. Please prepare a clear strategy to strengthen them","Although the project is strongly suited to be developed as a PPP, a weak parameter has been identified. Please prepare a clear strategy to strengthen it")," and proceed to prepare a comprehensive feasibility study to firm up the project fundamentals prior to the private partner procurement process.")</f>
        <v>Although the project is strongly suited to be developed as a PPP, a weak parameter has been identified. Please prepare a clear strategy to strengthen it and proceed to prepare a comprehensive feasibility study to firm up the project fundamentals prior to the private partner procurement process.</v>
      </c>
      <c r="AH10" s="1484" t="str">
        <f ca="1">CONCATENATE(IF($AE$23&gt;1,"Although the project is well suited to be developed as a PPP, some weaknesses in parameters have been identified. Please prepare a clear strategy to strengthen them","Although the project is well suited to be developed as a PPP, a weak parameter has been identified. Please prepare a clear strategy to strengthen it")," and proceed to prepare a comprehensive feasibility study to firm up the project fundamentals prior to the private partner procurement process.")</f>
        <v>Although the project is well suited to be developed as a PPP, a weak parameter has been identified. Please prepare a clear strategy to strengthen it and proceed to prepare a comprehensive feasibility study to firm up the project fundamentals prior to the private partner procurement process.</v>
      </c>
      <c r="AI10" s="1484" t="str">
        <f ca="1">CONCATENATE(IF($AE$23&gt;1,"Although the project is potentially suited to be developed as a PPP, some weaknesses in parameters have been identified. Please prepare a clear strategy to strengthen them","Although the project is potentially suited to be developed as a PPP, a weak parameter has been identified. Please prepare a clear strategy to strengthen it")," and proceed to prepare a comprehensive feasibility study to firm up the project fundamentals prior to the private partner procurement process.")</f>
        <v>Although the project is potentially suited to be developed as a PPP, a weak parameter has been identified. Please prepare a clear strategy to strengthen it and proceed to prepare a comprehensive feasibility study to firm up the project fundamentals prior to the private partner procurement process.</v>
      </c>
      <c r="AJ10" s="1484" t="str">
        <f ca="1">CONCATENATE(IF($AE$23&gt;1,"The project is marginally suited to be developed as a PPP and some weaknesses in parameters have also been identified. Please prepare a clear strategy to strengthen them","The project is marginally suited to be developed as a PPP and a weak parameter has also been identified. Please prepare a clear strategy to strengthen it")," and proceed only if the gaps are considered addressable in the feasibility study stage.")</f>
        <v>The project is marginally suited to be developed as a PPP and a weak parameter has also been identified. Please prepare a clear strategy to strengthen it and proceed only if the gaps are considered addressable in the feasibility study stage.</v>
      </c>
      <c r="AK10" s="1484" t="s">
        <v>1038</v>
      </c>
      <c r="AL10" s="1484" t="s">
        <v>1039</v>
      </c>
      <c r="AM10" s="1484" t="s">
        <v>1040</v>
      </c>
      <c r="AN10" s="1484" t="s">
        <v>1041</v>
      </c>
      <c r="AO10" s="1485" t="s">
        <v>1042</v>
      </c>
      <c r="AQ10" s="462"/>
    </row>
    <row r="11" spans="1:43" ht="187.8" thickBot="1" x14ac:dyDescent="0.35">
      <c r="A11" s="1517"/>
      <c r="B11" s="1518"/>
      <c r="C11" s="1518"/>
      <c r="D11" s="1518"/>
      <c r="E11" s="1519"/>
      <c r="F11" s="1519"/>
      <c r="G11" s="1520"/>
      <c r="H11" s="1444"/>
      <c r="I11" s="1452" t="s">
        <v>268</v>
      </c>
      <c r="J11" s="1521" t="str">
        <f ca="1">(HLOOKUP($H$10,$Q$3:$Z$42,M11,FALSE))</f>
        <v>The project's financial viability is critically dependent on the availability of required government support measures.</v>
      </c>
      <c r="K11" s="1516"/>
      <c r="L11" s="940"/>
      <c r="M11" s="1645">
        <f t="shared" si="0"/>
        <v>9</v>
      </c>
      <c r="N11" s="2521"/>
      <c r="O11" s="2521"/>
      <c r="P11" s="1482" t="s">
        <v>268</v>
      </c>
      <c r="Q11" s="1854" t="s">
        <v>995</v>
      </c>
      <c r="R11" s="1854" t="s">
        <v>995</v>
      </c>
      <c r="S11" s="1854" t="s">
        <v>995</v>
      </c>
      <c r="T11" s="1854" t="s">
        <v>995</v>
      </c>
      <c r="U11" s="1854" t="s">
        <v>995</v>
      </c>
      <c r="V11" s="1854" t="s">
        <v>995</v>
      </c>
      <c r="W11" s="1854" t="s">
        <v>995</v>
      </c>
      <c r="X11" s="1854" t="s">
        <v>995</v>
      </c>
      <c r="Y11" s="1854" t="s">
        <v>995</v>
      </c>
      <c r="Z11" s="1854" t="s">
        <v>995</v>
      </c>
      <c r="AC11" s="1579" t="s">
        <v>258</v>
      </c>
      <c r="AD11" s="1580"/>
      <c r="AE11" s="1580" t="s">
        <v>260</v>
      </c>
      <c r="AF11" s="1486" t="str">
        <f t="shared" ref="AF11:AL11" ca="1" si="5">CONCATENATE("Following parameter",IF($AE$23&gt;1,"s","")," require strengthening: ",$AF$23,".")</f>
        <v>Following parameter require strengthening: .</v>
      </c>
      <c r="AG11" s="1486" t="str">
        <f t="shared" ca="1" si="5"/>
        <v>Following parameter require strengthening: .</v>
      </c>
      <c r="AH11" s="1486" t="str">
        <f t="shared" ca="1" si="5"/>
        <v>Following parameter require strengthening: .</v>
      </c>
      <c r="AI11" s="1486" t="str">
        <f t="shared" ca="1" si="5"/>
        <v>Following parameter require strengthening: .</v>
      </c>
      <c r="AJ11" s="1486" t="str">
        <f t="shared" ca="1" si="5"/>
        <v>Following parameter require strengthening: .</v>
      </c>
      <c r="AK11" s="1486" t="str">
        <f t="shared" ca="1" si="5"/>
        <v>Following parameter require strengthening: .</v>
      </c>
      <c r="AL11" s="1486" t="str">
        <f t="shared" ca="1" si="5"/>
        <v>Following parameter require strengthening: .</v>
      </c>
      <c r="AM11" s="1486" t="str">
        <f ca="1">CONCATENATE("Although the entire project proposal needs to be revisited, specifically the identified areas that will need restructuring and re-assessment are: ",$AF$23,".")</f>
        <v>Although the entire project proposal needs to be revisited, specifically the identified areas that will need restructuring and re-assessment are: .</v>
      </c>
      <c r="AN11" s="1486" t="str">
        <f ca="1">CONCATENATE("Although the entire project proposal needs to be revisited, specifically the identified areas that will need restructuring and re-assessment are: ",$AF$23,".")</f>
        <v>Although the entire project proposal needs to be revisited, specifically the identified areas that will need restructuring and re-assessment are: .</v>
      </c>
      <c r="AO11" s="1487"/>
      <c r="AQ11" s="462"/>
    </row>
    <row r="12" spans="1:43" ht="41.25" customHeight="1" thickBot="1" x14ac:dyDescent="0.35">
      <c r="A12" s="1522"/>
      <c r="B12" s="1523"/>
      <c r="C12" s="1523"/>
      <c r="D12" s="1523"/>
      <c r="E12" s="1524"/>
      <c r="F12" s="1524"/>
      <c r="G12" s="1525"/>
      <c r="H12" s="1460"/>
      <c r="I12" s="1461" t="s">
        <v>260</v>
      </c>
      <c r="J12" s="1526" t="str">
        <f ca="1">J133</f>
        <v xml:space="preserve">               .</v>
      </c>
      <c r="K12" s="1516"/>
      <c r="L12" s="940"/>
      <c r="M12" s="1645">
        <f t="shared" si="0"/>
        <v>10</v>
      </c>
      <c r="N12" s="2521"/>
      <c r="O12" s="2521"/>
      <c r="P12" s="1481" t="s">
        <v>260</v>
      </c>
      <c r="Q12" s="1850" t="s">
        <v>295</v>
      </c>
      <c r="R12" s="1850" t="s">
        <v>295</v>
      </c>
      <c r="S12" s="1850" t="s">
        <v>295</v>
      </c>
      <c r="T12" s="1850" t="s">
        <v>295</v>
      </c>
      <c r="U12" s="1850" t="s">
        <v>294</v>
      </c>
      <c r="V12" s="1850" t="s">
        <v>289</v>
      </c>
      <c r="W12" s="1850" t="s">
        <v>289</v>
      </c>
      <c r="X12" s="1850" t="s">
        <v>296</v>
      </c>
      <c r="Y12" s="1850" t="s">
        <v>296</v>
      </c>
      <c r="Z12" s="1851">
        <v>0</v>
      </c>
      <c r="AH12" s="1412"/>
      <c r="AI12" s="1412"/>
      <c r="AJ12" s="1412"/>
      <c r="AK12" s="1412"/>
      <c r="AL12" s="1412"/>
      <c r="AM12" s="1412"/>
      <c r="AN12" s="1412"/>
      <c r="AO12" s="1412"/>
      <c r="AQ12" s="462"/>
    </row>
    <row r="13" spans="1:43" ht="42" thickTop="1" x14ac:dyDescent="0.3">
      <c r="A13" s="1507">
        <f>Admin!C10</f>
        <v>1</v>
      </c>
      <c r="B13" s="444" t="str">
        <f>CONCATENATE(Admin!D10,"")</f>
        <v>Technical Prefeasibility</v>
      </c>
      <c r="C13" s="447"/>
      <c r="D13" s="447"/>
      <c r="E13" s="1509">
        <f>Admin!J10</f>
        <v>5</v>
      </c>
      <c r="F13" s="445" t="str">
        <f t="shared" ref="F13" si="6">IF(E13&lt;$F$4,B13,"")</f>
        <v/>
      </c>
      <c r="G13" s="1509"/>
      <c r="H13" s="446"/>
      <c r="I13" s="1451"/>
      <c r="J13" s="1510" t="str">
        <f t="shared" ref="J13:J18" si="7">HLOOKUP($H$4,$Q$3:$Z$42,M13,FALSE)</f>
        <v>abc</v>
      </c>
      <c r="K13" s="1511"/>
      <c r="L13" s="940"/>
      <c r="M13" s="1645">
        <f t="shared" si="0"/>
        <v>11</v>
      </c>
      <c r="N13" s="1834"/>
      <c r="O13" s="1834" t="s">
        <v>38</v>
      </c>
      <c r="P13" s="1482"/>
      <c r="Q13" s="1852" t="s">
        <v>210</v>
      </c>
      <c r="R13" s="1852"/>
      <c r="S13" s="1852" t="s">
        <v>211</v>
      </c>
      <c r="T13" s="1852" t="s">
        <v>212</v>
      </c>
      <c r="U13" s="1852" t="s">
        <v>213</v>
      </c>
      <c r="V13" s="1852" t="s">
        <v>214</v>
      </c>
      <c r="W13" s="1852" t="s">
        <v>215</v>
      </c>
      <c r="X13" s="1852" t="s">
        <v>216</v>
      </c>
      <c r="Y13" s="1852" t="s">
        <v>217</v>
      </c>
      <c r="Z13" s="1853" t="s">
        <v>218</v>
      </c>
      <c r="AC13" s="2511" t="s">
        <v>300</v>
      </c>
      <c r="AD13" s="2511"/>
      <c r="AE13" s="2511"/>
      <c r="AF13" s="1656" t="s">
        <v>535</v>
      </c>
      <c r="AG13" s="1656" t="s">
        <v>534</v>
      </c>
      <c r="AH13" s="1412"/>
      <c r="AI13" s="1412"/>
      <c r="AJ13" s="1412"/>
      <c r="AK13" s="1412"/>
      <c r="AL13" s="1412"/>
      <c r="AM13" s="1412"/>
      <c r="AN13" s="1412"/>
      <c r="AO13" s="1412"/>
      <c r="AQ13" s="462"/>
    </row>
    <row r="14" spans="1:43" ht="82.8" x14ac:dyDescent="0.3">
      <c r="A14" s="1507">
        <f>Admin!C11</f>
        <v>2</v>
      </c>
      <c r="B14" s="444" t="str">
        <f>CONCATENATE(Admin!D11,"")</f>
        <v>Environmental Sustainability</v>
      </c>
      <c r="C14" s="447"/>
      <c r="D14" s="447"/>
      <c r="E14" s="1509">
        <f>Admin!J11</f>
        <v>5</v>
      </c>
      <c r="F14" s="445" t="str">
        <f>IF(E14&lt;$F$2,B14,"")</f>
        <v/>
      </c>
      <c r="G14" s="1509"/>
      <c r="H14" s="446" t="str">
        <f t="shared" ref="H14:H18" si="8">IF(E14&lt;$F$2,1,"")</f>
        <v/>
      </c>
      <c r="I14" s="1451"/>
      <c r="J14" s="1510" t="str">
        <f t="shared" si="7"/>
        <v>abc</v>
      </c>
      <c r="K14" s="1511"/>
      <c r="L14" s="940"/>
      <c r="M14" s="1645">
        <f t="shared" si="0"/>
        <v>12</v>
      </c>
      <c r="N14" s="1834"/>
      <c r="O14" s="1834" t="s">
        <v>571</v>
      </c>
      <c r="P14" s="1482"/>
      <c r="Q14" s="1852" t="s">
        <v>210</v>
      </c>
      <c r="R14" s="1852"/>
      <c r="S14" s="1852" t="s">
        <v>211</v>
      </c>
      <c r="T14" s="1852" t="s">
        <v>212</v>
      </c>
      <c r="U14" s="1852" t="s">
        <v>213</v>
      </c>
      <c r="V14" s="1852" t="s">
        <v>214</v>
      </c>
      <c r="W14" s="1852" t="s">
        <v>215</v>
      </c>
      <c r="X14" s="1852" t="s">
        <v>216</v>
      </c>
      <c r="Y14" s="1852" t="s">
        <v>217</v>
      </c>
      <c r="Z14" s="1853" t="s">
        <v>218</v>
      </c>
      <c r="AC14" s="1405" t="s">
        <v>290</v>
      </c>
      <c r="AD14" s="1406">
        <f ca="1">'Data Analysis'!K208</f>
        <v>4.8391999999999999</v>
      </c>
      <c r="AE14" s="1405" t="s">
        <v>259</v>
      </c>
      <c r="AF14" s="1407" t="str">
        <f ca="1">IF(OR(AE18&gt;0,AE19&gt;0),AF17,AG14)</f>
        <v>The project is strongly suited to be developed as a PPP. Proceed with project preparation.</v>
      </c>
      <c r="AG14" s="1408" t="str">
        <f ca="1">IF(AD14&gt;=4.5,AF4,(IF(AND(AD14&gt;=4,AD14&lt;4.5),AG4,IF(AND(AD14&gt;=3.5,AD14&lt;4),AH4,IF(AND(AD14&gt;=3,AD14&lt;3.5),AI4,IF(AND(AD14&gt;=2.5,AD14&lt;3),AJ4,IF(AND(AD14&gt;=2,AD14&lt;2.5),AK4,IF(AND(AD14&gt;=1.5,AD14&lt;2),AL4,IF(AND(AD14&gt;=1,AD14&lt;1.5),AM4,IF(AND(AD14&gt;=0.5,AD14&lt;1),AN4,AO4))))))))))</f>
        <v>The project is strongly suited to be developed as a PPP. Proceed with project preparation.</v>
      </c>
      <c r="AH14" s="1410"/>
      <c r="AI14" s="1410"/>
      <c r="AJ14" s="1410"/>
      <c r="AK14" s="1410"/>
      <c r="AL14" s="1410"/>
      <c r="AM14" s="1410"/>
      <c r="AN14" s="1410"/>
      <c r="AO14" s="1410"/>
      <c r="AQ14" s="462"/>
    </row>
    <row r="15" spans="1:43" ht="138.6" thickBot="1" x14ac:dyDescent="0.35">
      <c r="A15" s="1507">
        <f>Admin!C12</f>
        <v>3</v>
      </c>
      <c r="B15" s="444" t="str">
        <f>CONCATENATE(Admin!D12,"")</f>
        <v>Social Sustainability</v>
      </c>
      <c r="C15" s="447"/>
      <c r="D15" s="447"/>
      <c r="E15" s="1509">
        <f>Admin!J12</f>
        <v>5</v>
      </c>
      <c r="F15" s="445" t="str">
        <f t="shared" ref="F15:F18" si="9">IF(E15&lt;$F$2,B15,"")</f>
        <v/>
      </c>
      <c r="G15" s="1509"/>
      <c r="H15" s="446" t="str">
        <f t="shared" si="8"/>
        <v/>
      </c>
      <c r="I15" s="1451"/>
      <c r="J15" s="1510" t="str">
        <f t="shared" si="7"/>
        <v>abc</v>
      </c>
      <c r="K15" s="1511"/>
      <c r="L15" s="940"/>
      <c r="M15" s="1645">
        <f t="shared" si="0"/>
        <v>13</v>
      </c>
      <c r="N15" s="1834"/>
      <c r="O15" s="1834" t="s">
        <v>70</v>
      </c>
      <c r="P15" s="1482"/>
      <c r="Q15" s="1852" t="s">
        <v>210</v>
      </c>
      <c r="R15" s="1852"/>
      <c r="S15" s="1852" t="s">
        <v>211</v>
      </c>
      <c r="T15" s="1852" t="s">
        <v>212</v>
      </c>
      <c r="U15" s="1852" t="s">
        <v>213</v>
      </c>
      <c r="V15" s="1852" t="s">
        <v>214</v>
      </c>
      <c r="W15" s="1852" t="s">
        <v>215</v>
      </c>
      <c r="X15" s="1852" t="s">
        <v>216</v>
      </c>
      <c r="Y15" s="1852" t="s">
        <v>217</v>
      </c>
      <c r="Z15" s="1853" t="s">
        <v>218</v>
      </c>
      <c r="AC15" s="1409"/>
      <c r="AD15" s="1409"/>
      <c r="AE15" s="1405" t="s">
        <v>260</v>
      </c>
      <c r="AF15" s="1407" t="str">
        <f ca="1">IF(AND(AE18&gt;0,AE19&gt;0),AF20,IF(AE18&gt;0,AF18,IF(AE19&gt;0,AF19,AG15)))</f>
        <v xml:space="preserve">Prepare a comprehensive feasibility study to firm up the project fundamentals prior to the private partner procurement process. </v>
      </c>
      <c r="AG15" s="1408" t="str">
        <f ca="1">IF(AD14&gt;=4.5,AF5,(IF(AND(AD14&gt;=4,AD14&lt;4.5),AG5,IF(AND(AD14&gt;=3.5,AD14&lt;4),AH5,IF(AND(AD14&gt;=3,AD14&lt;3.5),AI5,IF(AND(AD14&gt;=2.5,AD14&lt;3),AJ5,IF(AND(AD14&gt;=2,AD14&lt;2.5),AK5,IF(AND(AD14&gt;=1.5,AD14&lt;2),AL5,IF(AND(AD14&gt;=1,AD14&lt;1.5),AM5,IF(AND(AD14&gt;=0.5,AD14&lt;1),AN5,AO5))))))))))</f>
        <v xml:space="preserve">Prepare a comprehensive feasibility study to firm up the project fundamentals prior to the private partner procurement process. </v>
      </c>
      <c r="AH15" s="1414"/>
      <c r="AI15" s="1414"/>
      <c r="AJ15" s="1414"/>
      <c r="AL15" s="1414"/>
      <c r="AM15" s="1414"/>
      <c r="AN15" s="1414"/>
      <c r="AO15" s="1414"/>
      <c r="AQ15" s="462"/>
    </row>
    <row r="16" spans="1:43" ht="26.4" thickBot="1" x14ac:dyDescent="0.35">
      <c r="A16" s="1507">
        <f>Admin!C13</f>
        <v>4</v>
      </c>
      <c r="B16" s="444" t="str">
        <f>CONCATENATE(Admin!D13,"")</f>
        <v>Economic Prefeasibility</v>
      </c>
      <c r="C16" s="447"/>
      <c r="D16" s="447"/>
      <c r="E16" s="1509">
        <f>Admin!J13</f>
        <v>5</v>
      </c>
      <c r="F16" s="445" t="str">
        <f t="shared" si="9"/>
        <v/>
      </c>
      <c r="G16" s="1509"/>
      <c r="H16" s="446" t="str">
        <f t="shared" si="8"/>
        <v/>
      </c>
      <c r="I16" s="1451"/>
      <c r="J16" s="1510" t="str">
        <f t="shared" si="7"/>
        <v>abc</v>
      </c>
      <c r="K16" s="1511"/>
      <c r="L16" s="940"/>
      <c r="M16" s="1645">
        <f t="shared" si="0"/>
        <v>14</v>
      </c>
      <c r="N16" s="1834"/>
      <c r="O16" s="1834" t="s">
        <v>71</v>
      </c>
      <c r="P16" s="1482"/>
      <c r="Q16" s="1852" t="s">
        <v>210</v>
      </c>
      <c r="R16" s="1852"/>
      <c r="S16" s="1852" t="s">
        <v>211</v>
      </c>
      <c r="T16" s="1852" t="s">
        <v>212</v>
      </c>
      <c r="U16" s="1852" t="s">
        <v>213</v>
      </c>
      <c r="V16" s="1852" t="s">
        <v>214</v>
      </c>
      <c r="W16" s="1852" t="s">
        <v>215</v>
      </c>
      <c r="X16" s="1852" t="s">
        <v>216</v>
      </c>
      <c r="Y16" s="1852" t="s">
        <v>217</v>
      </c>
      <c r="Z16" s="1853" t="s">
        <v>218</v>
      </c>
      <c r="AC16" s="1410"/>
      <c r="AD16" s="1410"/>
      <c r="AE16" s="1493" t="s">
        <v>537</v>
      </c>
      <c r="AF16" s="1494" t="s">
        <v>533</v>
      </c>
      <c r="AG16" s="1410"/>
      <c r="AH16" s="1416"/>
      <c r="AI16" s="1410"/>
      <c r="AJ16" s="1410"/>
      <c r="AL16" s="1410"/>
      <c r="AM16" s="1410"/>
      <c r="AN16" s="1410"/>
      <c r="AO16" s="1410"/>
      <c r="AQ16" s="462"/>
    </row>
    <row r="17" spans="1:43" ht="207.6" thickBot="1" x14ac:dyDescent="0.35">
      <c r="A17" s="1507">
        <f>Admin!C14</f>
        <v>5</v>
      </c>
      <c r="B17" s="444" t="str">
        <f>CONCATENATE(Admin!D14,"")</f>
        <v>Financial Prefeasibility</v>
      </c>
      <c r="C17" s="447"/>
      <c r="D17" s="447"/>
      <c r="E17" s="1509">
        <f ca="1">Admin!J14</f>
        <v>4.9999999999999991</v>
      </c>
      <c r="F17" s="445" t="str">
        <f t="shared" ca="1" si="9"/>
        <v/>
      </c>
      <c r="G17" s="1509"/>
      <c r="H17" s="446" t="str">
        <f t="shared" ca="1" si="8"/>
        <v/>
      </c>
      <c r="I17" s="1451"/>
      <c r="J17" s="1510" t="str">
        <f t="shared" si="7"/>
        <v>abc</v>
      </c>
      <c r="K17" s="1511"/>
      <c r="L17" s="940"/>
      <c r="M17" s="1645">
        <f t="shared" si="0"/>
        <v>15</v>
      </c>
      <c r="N17" s="1834"/>
      <c r="O17" s="1834" t="s">
        <v>72</v>
      </c>
      <c r="P17" s="1482"/>
      <c r="Q17" s="1852" t="s">
        <v>210</v>
      </c>
      <c r="R17" s="1852"/>
      <c r="S17" s="1852" t="s">
        <v>211</v>
      </c>
      <c r="T17" s="1852" t="s">
        <v>212</v>
      </c>
      <c r="U17" s="1852" t="s">
        <v>213</v>
      </c>
      <c r="V17" s="1852" t="s">
        <v>214</v>
      </c>
      <c r="W17" s="1852" t="s">
        <v>215</v>
      </c>
      <c r="X17" s="1852" t="s">
        <v>216</v>
      </c>
      <c r="Y17" s="1852" t="s">
        <v>217</v>
      </c>
      <c r="Z17" s="1853" t="s">
        <v>218</v>
      </c>
      <c r="AC17" s="1410"/>
      <c r="AD17" s="1495" t="s">
        <v>536</v>
      </c>
      <c r="AE17" s="1496"/>
      <c r="AF17" s="1497" t="str">
        <f ca="1">CONCATENATE("The project is inherently ",'Data Analysis'!L208,".",IF(AD14&gt;=3," However, significant weakness(es) have been identifed. Please prepare a clear strategy to address the warning below. Proceed ahead, only if the gap(s) can be potentially addressed at the feasibility stage.",IF(AND(AD14&gt;=2.5,AD14&lt;3)," In addition, significant weakness(es) have been identifed. Please prepare a clear strategy to address the warning below. Proceed ahead, only if the gap(s) can be potentially addressed at the feasibility stage.",IF(AND(AD14&gt;=1.5,AD14&lt;2.5)," The project is likely to require substantial restructuring in areas mentioned below. Do not proceed to feasibility stage till the warnings are addressed. ","The project needs undergo a comprehensive re-design and restructuring to substantially improve the areas mentioned below. Do not proceed to feasibility stage in the present state of the project."))))</f>
        <v>The project is inherently Very Strong. However, significant weakness(es) have been identifed. Please prepare a clear strategy to address the warning below. Proceed ahead, only if the gap(s) can be potentially addressed at the feasibility stage.</v>
      </c>
      <c r="AG17" s="1411"/>
      <c r="AH17" s="1410"/>
      <c r="AI17" s="1410"/>
      <c r="AJ17" s="1410"/>
      <c r="AM17" s="1411"/>
      <c r="AN17" s="1411"/>
      <c r="AO17" s="1411"/>
      <c r="AQ17" s="462"/>
    </row>
    <row r="18" spans="1:43" ht="55.8" thickBot="1" x14ac:dyDescent="0.35">
      <c r="A18" s="1507">
        <f>Admin!C15</f>
        <v>6</v>
      </c>
      <c r="B18" s="444" t="str">
        <f>CONCATENATE(Admin!D15,"")</f>
        <v>Legal Prefeasibility</v>
      </c>
      <c r="C18" s="447"/>
      <c r="D18" s="447"/>
      <c r="E18" s="1509">
        <f>Admin!J15</f>
        <v>5</v>
      </c>
      <c r="F18" s="445" t="str">
        <f t="shared" si="9"/>
        <v/>
      </c>
      <c r="G18" s="1509"/>
      <c r="H18" s="446" t="str">
        <f t="shared" si="8"/>
        <v/>
      </c>
      <c r="I18" s="1451"/>
      <c r="J18" s="1510" t="str">
        <f t="shared" si="7"/>
        <v>abc</v>
      </c>
      <c r="K18" s="1511"/>
      <c r="L18" s="940"/>
      <c r="M18" s="1645">
        <f t="shared" si="0"/>
        <v>16</v>
      </c>
      <c r="N18" s="1834"/>
      <c r="O18" s="1834" t="s">
        <v>73</v>
      </c>
      <c r="P18" s="1482"/>
      <c r="Q18" s="1852" t="s">
        <v>210</v>
      </c>
      <c r="R18" s="1852"/>
      <c r="S18" s="1852" t="s">
        <v>211</v>
      </c>
      <c r="T18" s="1852" t="s">
        <v>212</v>
      </c>
      <c r="U18" s="1852" t="s">
        <v>213</v>
      </c>
      <c r="V18" s="1852" t="s">
        <v>214</v>
      </c>
      <c r="W18" s="1852" t="s">
        <v>215</v>
      </c>
      <c r="X18" s="1852" t="s">
        <v>216</v>
      </c>
      <c r="Y18" s="1852" t="s">
        <v>217</v>
      </c>
      <c r="Z18" s="1853" t="s">
        <v>218</v>
      </c>
      <c r="AC18" s="1410"/>
      <c r="AD18" s="1634" t="s">
        <v>531</v>
      </c>
      <c r="AE18" s="1635">
        <f>IF(SUM(Dashboard!V20:V21)&gt;0,1,0)</f>
        <v>0</v>
      </c>
      <c r="AF18" s="1637" t="str">
        <f ca="1">CONCATENATE("Do not proceed if prerequisites are not likely to be met.",IF($AE$23&gt;0,CONCATENATE(" Please re-examine parameters - ",$AF$23,"."),""))</f>
        <v>Do not proceed if prerequisites are not likely to be met.</v>
      </c>
      <c r="AG18" s="1410"/>
      <c r="AH18" s="1410"/>
      <c r="AI18" s="1410"/>
      <c r="AJ18" s="1410"/>
      <c r="AM18" s="1411"/>
      <c r="AN18" s="1411"/>
      <c r="AO18" s="1411"/>
      <c r="AQ18" s="462"/>
    </row>
    <row r="19" spans="1:43" ht="112.5" customHeight="1" thickBot="1" x14ac:dyDescent="0.35">
      <c r="A19" s="1527" t="str">
        <f>Admin!B16</f>
        <v>III</v>
      </c>
      <c r="B19" s="2518" t="str">
        <f>Admin!C16</f>
        <v>Risk Assessment</v>
      </c>
      <c r="C19" s="2518"/>
      <c r="D19" s="2518"/>
      <c r="E19" s="1528">
        <f>'Data Analysis'!D200</f>
        <v>5</v>
      </c>
      <c r="F19" s="1528">
        <f>F4</f>
        <v>4</v>
      </c>
      <c r="G19" s="1529">
        <f>AVERAGE(E21:E28)</f>
        <v>5</v>
      </c>
      <c r="H19" s="1462" t="str">
        <f>'Data Analysis'!G200</f>
        <v>Very Strong</v>
      </c>
      <c r="I19" s="1463" t="s">
        <v>259</v>
      </c>
      <c r="J19" s="1530" t="str">
        <f>IF(OR(E141&gt;0,F141&gt;0),J141,HLOOKUP($H$19,$Q$3:$Z$42,M19,FALSE))</f>
        <v>The project has an excellent risk profile in terms of overall risk allocation and mitigation. Key risks have been identified and equitably shared to reduce the overall risk profile. There is a high degree of certainty that the proposed risk sharing will generate substantial private sector interest.</v>
      </c>
      <c r="K19" s="1531"/>
      <c r="L19" s="940"/>
      <c r="M19" s="1645">
        <f t="shared" si="0"/>
        <v>17</v>
      </c>
      <c r="N19" s="1834"/>
      <c r="O19" s="1834"/>
      <c r="P19" s="1480" t="s">
        <v>259</v>
      </c>
      <c r="Q19" s="1848" t="s">
        <v>764</v>
      </c>
      <c r="R19" s="1848" t="s">
        <v>996</v>
      </c>
      <c r="S19" s="1848" t="s">
        <v>997</v>
      </c>
      <c r="T19" s="1848" t="s">
        <v>1010</v>
      </c>
      <c r="U19" s="1848" t="s">
        <v>1011</v>
      </c>
      <c r="V19" s="1848" t="s">
        <v>1027</v>
      </c>
      <c r="W19" s="1848" t="s">
        <v>1026</v>
      </c>
      <c r="X19" s="1848" t="s">
        <v>1025</v>
      </c>
      <c r="Y19" s="1848" t="s">
        <v>1028</v>
      </c>
      <c r="Z19" s="1849" t="s">
        <v>1024</v>
      </c>
      <c r="AC19" s="1410"/>
      <c r="AD19" s="1634" t="s">
        <v>532</v>
      </c>
      <c r="AE19" s="1635">
        <f>IF(SUM(Dashboard!V24:V26)&gt;0,1,0)</f>
        <v>0</v>
      </c>
      <c r="AF19" s="1636" t="str">
        <f ca="1">CONCATENATE("Please address the potential deal breakers triggered",IF($AE$23&gt;0,CONCATENATE(" and strengthen the identified gaps in parameters - ",$AF$23),""),".")</f>
        <v>Please address the potential deal breakers triggered.</v>
      </c>
      <c r="AG19" s="1410"/>
      <c r="AH19" s="1410"/>
      <c r="AI19" s="1410"/>
      <c r="AJ19" s="1410"/>
      <c r="AM19" s="1411"/>
      <c r="AN19" s="1411"/>
      <c r="AO19" s="1411"/>
      <c r="AQ19" s="462"/>
    </row>
    <row r="20" spans="1:43" ht="112.5" customHeight="1" thickBot="1" x14ac:dyDescent="0.35">
      <c r="A20" s="1532"/>
      <c r="B20" s="1533"/>
      <c r="C20" s="1533"/>
      <c r="D20" s="1533"/>
      <c r="E20" s="1534"/>
      <c r="F20" s="1534"/>
      <c r="G20" s="1535"/>
      <c r="H20" s="1464"/>
      <c r="I20" s="1465" t="s">
        <v>260</v>
      </c>
      <c r="J20" s="1536" t="str">
        <f>J142</f>
        <v xml:space="preserve">                     .</v>
      </c>
      <c r="K20" s="1531"/>
      <c r="L20" s="940"/>
      <c r="M20" s="1645">
        <f t="shared" si="0"/>
        <v>18</v>
      </c>
      <c r="N20" s="1834"/>
      <c r="O20" s="1834"/>
      <c r="P20" s="1481" t="s">
        <v>260</v>
      </c>
      <c r="Q20" s="1850" t="s">
        <v>295</v>
      </c>
      <c r="R20" s="1850" t="s">
        <v>295</v>
      </c>
      <c r="S20" s="1850" t="s">
        <v>295</v>
      </c>
      <c r="T20" s="1850" t="s">
        <v>295</v>
      </c>
      <c r="U20" s="1850" t="s">
        <v>294</v>
      </c>
      <c r="V20" s="1850" t="s">
        <v>289</v>
      </c>
      <c r="W20" s="1850" t="s">
        <v>289</v>
      </c>
      <c r="X20" s="1850" t="s">
        <v>296</v>
      </c>
      <c r="Y20" s="1850" t="s">
        <v>296</v>
      </c>
      <c r="Z20" s="1851">
        <v>0</v>
      </c>
      <c r="AC20" s="1413"/>
      <c r="AD20" s="1638" t="s">
        <v>655</v>
      </c>
      <c r="AF20" s="1640" t="str">
        <f ca="1">CONCATENATE("Please address the prerequisites and potential deal breakers triggered. Please also strengthen and re-examine the parameters - ",IF($AE$23&gt;0,CONCATENATE($AF$23,"."),""))</f>
        <v xml:space="preserve">Please address the prerequisites and potential deal breakers triggered. Please also strengthen and re-examine the parameters - </v>
      </c>
      <c r="AG20" s="1410"/>
      <c r="AH20" s="1410"/>
      <c r="AI20" s="1410"/>
      <c r="AJ20" s="1410"/>
      <c r="AM20" s="1411" t="s">
        <v>785</v>
      </c>
      <c r="AN20" s="1411" t="s">
        <v>785</v>
      </c>
      <c r="AO20" s="1411" t="s">
        <v>785</v>
      </c>
      <c r="AQ20" s="462"/>
    </row>
    <row r="21" spans="1:43" ht="31.8" thickTop="1" x14ac:dyDescent="0.3">
      <c r="A21" s="1624">
        <f>Admin!C17</f>
        <v>1</v>
      </c>
      <c r="B21" s="1620" t="str">
        <f>CONCATENATE(Admin!D17,"")</f>
        <v>Risk of delay in land acquisition</v>
      </c>
      <c r="C21" s="1621"/>
      <c r="D21" s="1622"/>
      <c r="E21" s="1623">
        <f>Admin!J17</f>
        <v>4.9999999999999991</v>
      </c>
      <c r="F21" s="445" t="str">
        <f>IF('Data Analysis'!C359=0,"",IF(E21&lt;$F$2,B21,""))</f>
        <v/>
      </c>
      <c r="G21" s="1539"/>
      <c r="H21" s="446"/>
      <c r="I21" s="1451"/>
      <c r="J21" s="1510">
        <f>HLOOKUP($H$4,$Q$3:$Z$42,M21,FALSE)</f>
        <v>0</v>
      </c>
      <c r="K21" s="1511">
        <v>4.9999999999999991</v>
      </c>
      <c r="L21" s="940"/>
      <c r="M21" s="1645">
        <f t="shared" si="0"/>
        <v>19</v>
      </c>
      <c r="N21" s="1834"/>
      <c r="O21" s="1834" t="str">
        <f>B21</f>
        <v>Risk of delay in land acquisition</v>
      </c>
      <c r="P21" s="1482"/>
      <c r="Q21" s="1852"/>
      <c r="R21" s="1852"/>
      <c r="S21" s="1852"/>
      <c r="T21" s="1852"/>
      <c r="U21" s="1852"/>
      <c r="V21" s="1852"/>
      <c r="W21" s="1852"/>
      <c r="X21" s="1852"/>
      <c r="Y21" s="1852"/>
      <c r="Z21" s="1853"/>
      <c r="AC21" s="1410"/>
      <c r="AD21" s="1641" t="s">
        <v>656</v>
      </c>
      <c r="AE21" s="1642"/>
      <c r="AF21" s="1643"/>
      <c r="AG21" s="1410"/>
      <c r="AH21" s="1416"/>
      <c r="AI21" s="1410"/>
      <c r="AJ21" s="1410"/>
      <c r="AM21" s="1411" t="s">
        <v>786</v>
      </c>
      <c r="AN21" s="1411" t="s">
        <v>786</v>
      </c>
      <c r="AO21" s="1411" t="s">
        <v>786</v>
      </c>
      <c r="AQ21" s="462"/>
    </row>
    <row r="22" spans="1:43" ht="165.6" x14ac:dyDescent="0.3">
      <c r="A22" s="1624">
        <f>Admin!C18</f>
        <v>2</v>
      </c>
      <c r="B22" s="1620" t="str">
        <f>CONCATENATE(Admin!D18,"")</f>
        <v>Financing Risk</v>
      </c>
      <c r="C22" s="1621"/>
      <c r="D22" s="1621"/>
      <c r="E22" s="1623">
        <f>Admin!J18</f>
        <v>5</v>
      </c>
      <c r="F22" s="445" t="str">
        <f>IF('Data Analysis'!C368=0,"",IF(E22&lt;$F$2,B22,""))</f>
        <v/>
      </c>
      <c r="G22" s="1539"/>
      <c r="H22" s="446"/>
      <c r="I22" s="1451"/>
      <c r="J22" s="1510">
        <f>HLOOKUP($H$4,$Q$3:$Z$42,M22,FALSE)</f>
        <v>0</v>
      </c>
      <c r="K22" s="1511">
        <v>5</v>
      </c>
      <c r="L22" s="940"/>
      <c r="M22" s="1645">
        <f t="shared" si="0"/>
        <v>20</v>
      </c>
      <c r="N22" s="1834"/>
      <c r="O22" s="1834" t="str">
        <f t="shared" ref="O22:O28" si="10">B22</f>
        <v>Financing Risk</v>
      </c>
      <c r="P22" s="1482"/>
      <c r="Q22" s="1852"/>
      <c r="R22" s="1852"/>
      <c r="S22" s="1852"/>
      <c r="T22" s="1852"/>
      <c r="U22" s="1852"/>
      <c r="V22" s="1852"/>
      <c r="W22" s="1852"/>
      <c r="X22" s="1852"/>
      <c r="Y22" s="1852"/>
      <c r="Z22" s="1853"/>
      <c r="AC22" s="1415"/>
      <c r="AD22" s="1638" t="s">
        <v>536</v>
      </c>
      <c r="AE22" s="1410"/>
      <c r="AF22" s="1639" t="str">
        <f ca="1">CONCATENATE("The project is inherently ",'Data Analysis'!L208,".",IF(AD14&gt;=$F$2,CONCATENATE(" Please re-examine the parameters classified as ",'Data Analysis'!$L$201," or below. Do not proceed till warnings are addressed."),""))</f>
        <v>The project is inherently Very Strong. Please re-examine the parameters classified as Weak or below. Do not proceed till warnings are addressed.</v>
      </c>
      <c r="AG22" s="1410"/>
      <c r="AH22" s="1410"/>
      <c r="AI22" s="1410"/>
      <c r="AJ22" s="1410"/>
      <c r="AM22" s="1411" t="s">
        <v>724</v>
      </c>
      <c r="AN22" s="1411" t="s">
        <v>725</v>
      </c>
      <c r="AO22" s="1411" t="s">
        <v>728</v>
      </c>
      <c r="AQ22" s="462"/>
    </row>
    <row r="23" spans="1:43" ht="31.8" thickBot="1" x14ac:dyDescent="0.35">
      <c r="A23" s="1624">
        <f>Admin!C19</f>
        <v>3</v>
      </c>
      <c r="B23" s="1620" t="str">
        <f>CONCATENATE(Admin!D19,"")</f>
        <v xml:space="preserve">Design and Construction Risk </v>
      </c>
      <c r="C23" s="1621"/>
      <c r="D23" s="1621"/>
      <c r="E23" s="1623">
        <f>Admin!J19</f>
        <v>4.9999999999999991</v>
      </c>
      <c r="F23" s="445" t="str">
        <f>IF('Data Analysis'!C369=0,"",IF(E23&lt;$F$2,B23,""))</f>
        <v/>
      </c>
      <c r="G23" s="1539"/>
      <c r="H23" s="446"/>
      <c r="I23" s="1451"/>
      <c r="J23" s="1510">
        <f>HLOOKUP($H$4,$Q$3:$Z$42,M23,FALSE)</f>
        <v>0</v>
      </c>
      <c r="K23" s="1511"/>
      <c r="L23" s="940"/>
      <c r="M23" s="1645">
        <f t="shared" si="0"/>
        <v>21</v>
      </c>
      <c r="N23" s="1834"/>
      <c r="O23" s="1834" t="str">
        <f t="shared" si="10"/>
        <v xml:space="preserve">Design and Construction Risk </v>
      </c>
      <c r="P23" s="1482"/>
      <c r="Q23" s="1852"/>
      <c r="R23" s="1852"/>
      <c r="S23" s="1852"/>
      <c r="T23" s="1852"/>
      <c r="U23" s="1852"/>
      <c r="V23" s="1852"/>
      <c r="W23" s="1852"/>
      <c r="X23" s="1852"/>
      <c r="Y23" s="1852"/>
      <c r="Z23" s="1853"/>
      <c r="AC23" s="1410"/>
      <c r="AD23" s="1488" t="s">
        <v>657</v>
      </c>
      <c r="AE23" s="1655">
        <f ca="1">J85</f>
        <v>0</v>
      </c>
      <c r="AF23" s="1654" t="str">
        <f ca="1">C89</f>
        <v/>
      </c>
      <c r="AG23" s="1410"/>
      <c r="AH23" s="1410"/>
      <c r="AI23" s="1410"/>
      <c r="AJ23" s="1410"/>
      <c r="AK23" s="1410"/>
      <c r="AL23" s="1410"/>
      <c r="AM23" s="1410"/>
      <c r="AN23" s="1410"/>
      <c r="AO23" s="1410"/>
      <c r="AQ23" s="462"/>
    </row>
    <row r="24" spans="1:43" ht="31.2" x14ac:dyDescent="0.3">
      <c r="A24" s="1624">
        <f>Admin!C20</f>
        <v>4</v>
      </c>
      <c r="B24" s="1620" t="str">
        <f>CONCATENATE(Admin!D20,"")</f>
        <v>Operations and Maintenance Risk</v>
      </c>
      <c r="C24" s="1621"/>
      <c r="D24" s="1621"/>
      <c r="E24" s="1623">
        <f>Admin!J20</f>
        <v>5</v>
      </c>
      <c r="F24" s="445" t="str">
        <f>IF('Data Analysis'!C370=0,"",IF(E24&lt;$F$2,B24,""))</f>
        <v/>
      </c>
      <c r="G24" s="1539"/>
      <c r="H24" s="446"/>
      <c r="I24" s="1451"/>
      <c r="J24" s="1510">
        <f>HLOOKUP($H$4,$Q$3:$Z$42,M24,FALSE)</f>
        <v>0</v>
      </c>
      <c r="K24" s="1511"/>
      <c r="L24" s="940"/>
      <c r="M24" s="1645">
        <f t="shared" si="0"/>
        <v>22</v>
      </c>
      <c r="N24" s="1834"/>
      <c r="O24" s="1834" t="str">
        <f t="shared" si="10"/>
        <v>Operations and Maintenance Risk</v>
      </c>
      <c r="P24" s="1482"/>
      <c r="Q24" s="1852"/>
      <c r="R24" s="1852"/>
      <c r="S24" s="1852"/>
      <c r="T24" s="1852"/>
      <c r="U24" s="1852"/>
      <c r="V24" s="1852"/>
      <c r="W24" s="1852"/>
      <c r="X24" s="1852"/>
      <c r="Y24" s="1852"/>
      <c r="Z24" s="1853"/>
      <c r="AC24" s="1410"/>
      <c r="AD24" s="1410"/>
      <c r="AE24" s="1410"/>
      <c r="AF24" s="1410"/>
      <c r="AG24" s="1410"/>
      <c r="AH24" s="1410"/>
      <c r="AI24" s="1410"/>
      <c r="AJ24" s="1410"/>
      <c r="AK24" s="1410"/>
      <c r="AL24" s="1410"/>
      <c r="AM24" s="1410"/>
      <c r="AN24" s="1410"/>
      <c r="AO24" s="1410"/>
      <c r="AQ24" s="462"/>
    </row>
    <row r="25" spans="1:43" ht="31.2" x14ac:dyDescent="0.3">
      <c r="A25" s="1624">
        <f>Admin!C21</f>
        <v>5</v>
      </c>
      <c r="B25" s="1620" t="str">
        <f>CONCATENATE(Admin!D21,"")</f>
        <v>Market Risk and Demand Risk</v>
      </c>
      <c r="C25" s="1621"/>
      <c r="D25" s="1621"/>
      <c r="E25" s="1623"/>
      <c r="F25" s="445"/>
      <c r="G25" s="1539"/>
      <c r="H25" s="446"/>
      <c r="I25" s="1451"/>
      <c r="J25" s="1510"/>
      <c r="K25" s="1511"/>
      <c r="L25" s="940"/>
      <c r="M25" s="1645">
        <f t="shared" si="0"/>
        <v>23</v>
      </c>
      <c r="N25" s="1834"/>
      <c r="O25" s="1834"/>
      <c r="P25" s="1482"/>
      <c r="Q25" s="1852"/>
      <c r="R25" s="1852"/>
      <c r="S25" s="1852"/>
      <c r="T25" s="1852"/>
      <c r="U25" s="1852"/>
      <c r="V25" s="1852"/>
      <c r="W25" s="1852"/>
      <c r="X25" s="1852"/>
      <c r="Y25" s="1852"/>
      <c r="Z25" s="1853"/>
      <c r="AC25" s="1410"/>
      <c r="AD25" s="1410"/>
      <c r="AE25" s="1410"/>
      <c r="AF25" s="1410"/>
      <c r="AG25" s="1410"/>
      <c r="AH25" s="1410"/>
      <c r="AI25" s="1410"/>
      <c r="AJ25" s="1410"/>
      <c r="AK25" s="1410"/>
      <c r="AL25" s="1410"/>
      <c r="AM25" s="1410"/>
      <c r="AN25" s="1659"/>
      <c r="AO25" s="1410"/>
      <c r="AQ25" s="462"/>
    </row>
    <row r="26" spans="1:43" ht="25.8" x14ac:dyDescent="0.3">
      <c r="A26" s="1624">
        <f>Admin!C22</f>
        <v>6</v>
      </c>
      <c r="B26" s="1620" t="str">
        <f>CONCATENATE(Admin!D22,"")</f>
        <v>Off Taker Risk</v>
      </c>
      <c r="C26" s="1621"/>
      <c r="D26" s="1621"/>
      <c r="E26" s="1623">
        <f>Admin!J21</f>
        <v>4.9999999999999991</v>
      </c>
      <c r="F26" s="445" t="str">
        <f>IF('Data Analysis'!C371=0,"",IF(E26&lt;$F$2,B26,""))</f>
        <v/>
      </c>
      <c r="G26" s="1539"/>
      <c r="H26" s="446"/>
      <c r="I26" s="1451"/>
      <c r="J26" s="1510">
        <f>HLOOKUP($H$4,$Q$3:$Z$42,M26,FALSE)</f>
        <v>0</v>
      </c>
      <c r="K26" s="1511"/>
      <c r="L26" s="940"/>
      <c r="M26" s="1645">
        <f t="shared" si="0"/>
        <v>24</v>
      </c>
      <c r="N26" s="1834"/>
      <c r="O26" s="1834" t="str">
        <f t="shared" si="10"/>
        <v>Off Taker Risk</v>
      </c>
      <c r="P26" s="1482"/>
      <c r="Q26" s="1852"/>
      <c r="R26" s="1852"/>
      <c r="S26" s="1852"/>
      <c r="T26" s="1852"/>
      <c r="U26" s="1852"/>
      <c r="V26" s="1852"/>
      <c r="W26" s="1852"/>
      <c r="X26" s="1852"/>
      <c r="Y26" s="1852"/>
      <c r="Z26" s="1853"/>
      <c r="AC26" s="1410"/>
      <c r="AD26" s="1410"/>
      <c r="AE26" s="1410"/>
      <c r="AF26" s="1410"/>
      <c r="AG26" s="1410"/>
      <c r="AH26" s="1410"/>
      <c r="AI26" s="1410"/>
      <c r="AJ26" s="1410"/>
      <c r="AK26" s="1410"/>
      <c r="AL26" s="1410"/>
      <c r="AM26" s="1410"/>
      <c r="AN26" s="1410"/>
      <c r="AO26" s="1410"/>
      <c r="AQ26" s="462"/>
    </row>
    <row r="27" spans="1:43" ht="25.8" x14ac:dyDescent="0.3">
      <c r="A27" s="1624">
        <f>Admin!C23</f>
        <v>7</v>
      </c>
      <c r="B27" s="1620" t="str">
        <f>CONCATENATE(Admin!D23,"")</f>
        <v>Foreign Exchange Risk</v>
      </c>
      <c r="C27" s="1621"/>
      <c r="D27" s="1621"/>
      <c r="E27" s="1623"/>
      <c r="F27" s="445"/>
      <c r="G27" s="1539"/>
      <c r="H27" s="446"/>
      <c r="I27" s="1451"/>
      <c r="J27" s="1510"/>
      <c r="K27" s="1511"/>
      <c r="L27" s="940"/>
      <c r="M27" s="1645">
        <f t="shared" si="0"/>
        <v>25</v>
      </c>
      <c r="N27" s="1834"/>
      <c r="O27" s="1834"/>
      <c r="P27" s="1482"/>
      <c r="Q27" s="1852"/>
      <c r="R27" s="1852"/>
      <c r="S27" s="1852"/>
      <c r="T27" s="1852"/>
      <c r="U27" s="1852"/>
      <c r="V27" s="1852"/>
      <c r="W27" s="1852"/>
      <c r="X27" s="1852"/>
      <c r="Y27" s="1852"/>
      <c r="Z27" s="1853"/>
      <c r="AC27" s="1410"/>
      <c r="AD27" s="1410"/>
      <c r="AE27" s="1410"/>
      <c r="AF27" s="1410"/>
      <c r="AG27" s="1410"/>
      <c r="AH27" s="1410"/>
      <c r="AI27" s="1410"/>
      <c r="AJ27" s="1410"/>
      <c r="AK27" s="1410"/>
      <c r="AL27" s="1410"/>
      <c r="AM27" s="1410"/>
      <c r="AN27" s="1410"/>
      <c r="AO27" s="1410"/>
      <c r="AQ27" s="462"/>
    </row>
    <row r="28" spans="1:43" ht="31.2" x14ac:dyDescent="0.3">
      <c r="A28" s="1624">
        <f>Admin!C24</f>
        <v>8</v>
      </c>
      <c r="B28" s="1620" t="str">
        <f>CONCATENATE(Admin!D24,"")</f>
        <v>Environmental and Social Risk</v>
      </c>
      <c r="C28" s="1621"/>
      <c r="D28" s="1621"/>
      <c r="E28" s="1623">
        <f>Admin!J22</f>
        <v>5</v>
      </c>
      <c r="F28" s="445" t="str">
        <f>IF('Data Analysis'!C372=0,"",IF(E28&lt;$F$2,B28,""))</f>
        <v/>
      </c>
      <c r="G28" s="1539"/>
      <c r="H28" s="446"/>
      <c r="I28" s="1451"/>
      <c r="J28" s="1510">
        <f>HLOOKUP($H$4,$Q$3:$Z$42,M28,FALSE)</f>
        <v>0</v>
      </c>
      <c r="K28" s="1511"/>
      <c r="L28" s="940"/>
      <c r="M28" s="1645">
        <f t="shared" si="0"/>
        <v>26</v>
      </c>
      <c r="N28" s="1834"/>
      <c r="O28" s="1834" t="str">
        <f t="shared" si="10"/>
        <v>Environmental and Social Risk</v>
      </c>
      <c r="P28" s="1482"/>
      <c r="Q28" s="1852"/>
      <c r="R28" s="1852"/>
      <c r="S28" s="1852"/>
      <c r="T28" s="1852"/>
      <c r="U28" s="1852"/>
      <c r="V28" s="1852"/>
      <c r="W28" s="1852"/>
      <c r="X28" s="1852"/>
      <c r="Y28" s="1852"/>
      <c r="Z28" s="1853"/>
      <c r="AC28" s="1410"/>
      <c r="AD28" s="1410"/>
      <c r="AE28" s="1410"/>
      <c r="AF28" s="1410"/>
      <c r="AG28" s="1410"/>
      <c r="AH28" s="1410"/>
      <c r="AI28" s="1410"/>
      <c r="AJ28" s="1410"/>
      <c r="AK28" s="1410"/>
      <c r="AL28" s="1410"/>
      <c r="AM28" s="1410"/>
      <c r="AN28" s="1410"/>
      <c r="AO28" s="1410"/>
      <c r="AQ28" s="462"/>
    </row>
    <row r="29" spans="1:43" ht="65.25" customHeight="1" x14ac:dyDescent="0.3">
      <c r="A29" s="1540">
        <v>4</v>
      </c>
      <c r="B29" s="2520" t="str">
        <f>CONCATENATE(Admin!C25,"")</f>
        <v>PPP Suitability</v>
      </c>
      <c r="C29" s="2520"/>
      <c r="D29" s="2520"/>
      <c r="E29" s="1541">
        <f>'Data Analysis'!E437</f>
        <v>5</v>
      </c>
      <c r="F29" s="1542">
        <f>F4</f>
        <v>4</v>
      </c>
      <c r="G29" s="1543">
        <f>AVERAGE(E32:E33)</f>
        <v>5</v>
      </c>
      <c r="H29" s="1466" t="str">
        <f>'Data Analysis'!G201</f>
        <v>Very Strong</v>
      </c>
      <c r="I29" s="1467" t="s">
        <v>264</v>
      </c>
      <c r="J29" s="1544" t="str">
        <f>IF(OR(E150&gt;0,F150&gt;0),J150,HLOOKUP($H$29,$Q$3:$Z$42,M29,FALSE))</f>
        <v>The project is extremely amenable as a PPP. There is a strong indication of value for money and potentially favorable market  interest.</v>
      </c>
      <c r="K29" s="1511"/>
      <c r="L29" s="940"/>
      <c r="M29" s="1645">
        <f t="shared" si="0"/>
        <v>27</v>
      </c>
      <c r="N29" s="1834"/>
      <c r="O29" s="1834"/>
      <c r="P29" s="1480" t="s">
        <v>264</v>
      </c>
      <c r="Q29" s="1848" t="s">
        <v>998</v>
      </c>
      <c r="R29" s="1848" t="s">
        <v>999</v>
      </c>
      <c r="S29" s="1848" t="s">
        <v>620</v>
      </c>
      <c r="T29" s="1848" t="s">
        <v>620</v>
      </c>
      <c r="U29" s="1848" t="s">
        <v>1012</v>
      </c>
      <c r="V29" s="1848" t="s">
        <v>1013</v>
      </c>
      <c r="W29" s="1848" t="s">
        <v>1030</v>
      </c>
      <c r="X29" s="1848" t="s">
        <v>1029</v>
      </c>
      <c r="Y29" s="1848" t="s">
        <v>1031</v>
      </c>
      <c r="Z29" s="1849" t="s">
        <v>1024</v>
      </c>
      <c r="AC29" s="1410"/>
      <c r="AD29" s="1410"/>
      <c r="AE29" s="1410"/>
      <c r="AF29" s="1410"/>
      <c r="AG29" s="1410"/>
      <c r="AH29" s="1410"/>
      <c r="AI29" s="1410"/>
      <c r="AJ29" s="1410"/>
      <c r="AK29" s="1410"/>
      <c r="AL29" s="1410"/>
      <c r="AM29" s="1410"/>
      <c r="AN29" s="1410"/>
      <c r="AO29" s="1410"/>
      <c r="AQ29" s="462"/>
    </row>
    <row r="30" spans="1:43" ht="65.25" customHeight="1" x14ac:dyDescent="0.3">
      <c r="A30" s="1545"/>
      <c r="B30" s="1449"/>
      <c r="C30" s="1546"/>
      <c r="D30" s="1546"/>
      <c r="E30" s="1547"/>
      <c r="F30" s="1450"/>
      <c r="G30" s="1548"/>
      <c r="H30" s="1448"/>
      <c r="I30" s="1453" t="s">
        <v>268</v>
      </c>
      <c r="J30" s="1549" t="str">
        <f>HLOOKUP($H$29,$Q$3:$Z$42,M30,FALSE)</f>
        <v>The project's bankability is dependent on the availability and adequacy of the required government support measures.</v>
      </c>
      <c r="K30" s="1511"/>
      <c r="L30" s="940"/>
      <c r="M30" s="1645">
        <f t="shared" si="0"/>
        <v>28</v>
      </c>
      <c r="N30" s="1834"/>
      <c r="O30" s="1834"/>
      <c r="P30" s="1482" t="s">
        <v>268</v>
      </c>
      <c r="Q30" s="1854" t="s">
        <v>1000</v>
      </c>
      <c r="R30" s="1854" t="s">
        <v>1000</v>
      </c>
      <c r="S30" s="1854" t="s">
        <v>1000</v>
      </c>
      <c r="T30" s="1854" t="s">
        <v>1000</v>
      </c>
      <c r="U30" s="1854" t="s">
        <v>1000</v>
      </c>
      <c r="V30" s="1854" t="s">
        <v>1000</v>
      </c>
      <c r="W30" s="1854" t="s">
        <v>1000</v>
      </c>
      <c r="X30" s="1854" t="s">
        <v>1000</v>
      </c>
      <c r="Y30" s="1854" t="s">
        <v>1000</v>
      </c>
      <c r="Z30" s="1855"/>
      <c r="AC30" s="1415"/>
      <c r="AD30" s="1410"/>
      <c r="AE30" s="1410"/>
      <c r="AF30" s="1410"/>
      <c r="AG30" s="1410"/>
      <c r="AH30" s="1416"/>
      <c r="AI30" s="1410"/>
      <c r="AJ30" s="1410"/>
      <c r="AK30" s="1410"/>
      <c r="AL30" s="1410"/>
      <c r="AM30" s="1410"/>
      <c r="AN30" s="1410"/>
      <c r="AO30" s="1410"/>
      <c r="AQ30" s="462"/>
    </row>
    <row r="31" spans="1:43" ht="65.25" customHeight="1" thickBot="1" x14ac:dyDescent="0.35">
      <c r="A31" s="1550"/>
      <c r="B31" s="1468"/>
      <c r="C31" s="1551"/>
      <c r="D31" s="1551"/>
      <c r="E31" s="1552"/>
      <c r="F31" s="1469"/>
      <c r="G31" s="1553"/>
      <c r="H31" s="1470"/>
      <c r="I31" s="1471" t="s">
        <v>260</v>
      </c>
      <c r="J31" s="1554" t="str">
        <f>J151</f>
        <v xml:space="preserve">   .</v>
      </c>
      <c r="K31" s="1511"/>
      <c r="L31" s="940"/>
      <c r="M31" s="1645">
        <f t="shared" si="0"/>
        <v>29</v>
      </c>
      <c r="N31" s="1834"/>
      <c r="O31" s="1834"/>
      <c r="P31" s="1481" t="s">
        <v>260</v>
      </c>
      <c r="Q31" s="1850" t="s">
        <v>295</v>
      </c>
      <c r="R31" s="1850" t="s">
        <v>295</v>
      </c>
      <c r="S31" s="1850" t="s">
        <v>295</v>
      </c>
      <c r="T31" s="1850" t="s">
        <v>295</v>
      </c>
      <c r="U31" s="1850" t="s">
        <v>294</v>
      </c>
      <c r="V31" s="1850" t="s">
        <v>289</v>
      </c>
      <c r="W31" s="1850" t="s">
        <v>289</v>
      </c>
      <c r="X31" s="1850" t="s">
        <v>296</v>
      </c>
      <c r="Y31" s="1850" t="s">
        <v>296</v>
      </c>
      <c r="Z31" s="1851">
        <v>0</v>
      </c>
      <c r="AC31" s="1410"/>
      <c r="AD31" s="1410"/>
      <c r="AE31" s="1410"/>
      <c r="AF31" s="1410"/>
      <c r="AG31" s="1410"/>
      <c r="AH31" s="1410"/>
      <c r="AI31" s="1410"/>
      <c r="AJ31" s="1410"/>
      <c r="AK31" s="1410"/>
      <c r="AL31" s="1410"/>
      <c r="AM31" s="1410"/>
      <c r="AN31" s="1410"/>
      <c r="AO31" s="1410"/>
      <c r="AQ31" s="462"/>
    </row>
    <row r="32" spans="1:43" ht="26.4" thickTop="1" x14ac:dyDescent="0.3">
      <c r="A32" s="1555"/>
      <c r="B32" s="444" t="str">
        <f>CONCATENATE(Admin!D26,"")</f>
        <v>Value for Money</v>
      </c>
      <c r="C32" s="447"/>
      <c r="D32" s="447"/>
      <c r="E32" s="1539">
        <f>Admin!J26</f>
        <v>4.9999999999999991</v>
      </c>
      <c r="F32" s="445" t="str">
        <f>IF(E32&lt;$F$2,B32,"")</f>
        <v/>
      </c>
      <c r="G32" s="1539"/>
      <c r="H32" s="446"/>
      <c r="I32" s="1451"/>
      <c r="J32" s="1510">
        <f>HLOOKUP($H$4,$Q$3:$Z$42,M32,FALSE)</f>
        <v>0</v>
      </c>
      <c r="K32" s="1511"/>
      <c r="L32" s="940"/>
      <c r="M32" s="1645">
        <f t="shared" si="0"/>
        <v>30</v>
      </c>
      <c r="N32" s="1834"/>
      <c r="O32" s="1834" t="str">
        <f>B32</f>
        <v>Value for Money</v>
      </c>
      <c r="P32" s="1482"/>
      <c r="Q32" s="1852"/>
      <c r="R32" s="1852"/>
      <c r="S32" s="1852"/>
      <c r="T32" s="1852"/>
      <c r="U32" s="1852"/>
      <c r="V32" s="1852"/>
      <c r="W32" s="1852"/>
      <c r="X32" s="1852"/>
      <c r="Y32" s="1852"/>
      <c r="Z32" s="1853"/>
      <c r="AC32" s="1410"/>
      <c r="AD32" s="1410"/>
      <c r="AE32" s="1410"/>
      <c r="AF32" s="1410"/>
      <c r="AG32" s="1410"/>
      <c r="AH32" s="1410"/>
      <c r="AI32" s="1410"/>
      <c r="AJ32" s="1410"/>
      <c r="AK32" s="1410"/>
      <c r="AL32" s="1410"/>
      <c r="AM32" s="1410"/>
      <c r="AN32" s="1410"/>
      <c r="AO32" s="1410"/>
      <c r="AQ32" s="462"/>
    </row>
    <row r="33" spans="1:43" ht="25.8" x14ac:dyDescent="0.3">
      <c r="A33" s="1555"/>
      <c r="B33" s="444" t="str">
        <f>CONCATENATE(Admin!D27,"")</f>
        <v>Market appetite</v>
      </c>
      <c r="C33" s="447"/>
      <c r="D33" s="447"/>
      <c r="E33" s="1539">
        <f>Admin!J27</f>
        <v>5</v>
      </c>
      <c r="F33" s="445" t="str">
        <f>IF(E33&lt;$F$2,B33,"")</f>
        <v/>
      </c>
      <c r="G33" s="1539"/>
      <c r="H33" s="446"/>
      <c r="I33" s="1451"/>
      <c r="J33" s="1510">
        <f>HLOOKUP($H$4,$Q$3:$Z$42,M33,FALSE)</f>
        <v>0</v>
      </c>
      <c r="K33" s="1511"/>
      <c r="L33" s="940"/>
      <c r="M33" s="1645">
        <f t="shared" si="0"/>
        <v>31</v>
      </c>
      <c r="N33" s="1834"/>
      <c r="O33" s="1834" t="str">
        <f t="shared" ref="O33" si="11">B33</f>
        <v>Market appetite</v>
      </c>
      <c r="P33" s="1482"/>
      <c r="Q33" s="1852"/>
      <c r="R33" s="1852"/>
      <c r="S33" s="1852"/>
      <c r="T33" s="1852"/>
      <c r="U33" s="1852"/>
      <c r="V33" s="1852"/>
      <c r="W33" s="1852"/>
      <c r="X33" s="1852"/>
      <c r="Y33" s="1852"/>
      <c r="Z33" s="1853"/>
      <c r="AC33" s="1410"/>
      <c r="AD33" s="1410"/>
      <c r="AE33" s="1410"/>
      <c r="AF33" s="1410"/>
      <c r="AG33" s="1410"/>
      <c r="AH33" s="1410"/>
      <c r="AI33" s="1410"/>
      <c r="AJ33" s="1410"/>
      <c r="AK33" s="1410"/>
      <c r="AL33" s="1410"/>
      <c r="AM33" s="1410"/>
      <c r="AN33" s="1410"/>
      <c r="AO33" s="1410"/>
      <c r="AQ33" s="462"/>
    </row>
    <row r="34" spans="1:43" ht="82.5" customHeight="1" x14ac:dyDescent="0.3">
      <c r="A34" s="1556" t="str">
        <f>Admin!B28</f>
        <v>V</v>
      </c>
      <c r="B34" s="2519" t="str">
        <f>Admin!C28</f>
        <v>Govt’s Fiscal Affordability</v>
      </c>
      <c r="C34" s="2519"/>
      <c r="D34" s="2519"/>
      <c r="E34" s="1557">
        <f>'Data Analysis'!D202</f>
        <v>4.1959999999999997</v>
      </c>
      <c r="F34" s="1557">
        <f>F4</f>
        <v>4</v>
      </c>
      <c r="G34" s="1558">
        <f>AVERAGE(E36:E37)</f>
        <v>4.33</v>
      </c>
      <c r="H34" s="1472" t="str">
        <f>'Data Analysis'!G202</f>
        <v>Strong</v>
      </c>
      <c r="I34" s="1473" t="s">
        <v>259</v>
      </c>
      <c r="J34" s="1559" t="str">
        <f>IF(OR(E159&gt;0,F159&gt;0),J159,HLOOKUP($H$34,$Q$3:$Z$42,M34,FALSE))</f>
        <v>The fiscal commitments are within acceptable budget ceilings and their collective impact is fiscally manageable by the government.</v>
      </c>
      <c r="K34" s="1560"/>
      <c r="L34" s="940"/>
      <c r="M34" s="1645">
        <f t="shared" si="0"/>
        <v>32</v>
      </c>
      <c r="N34" s="1834"/>
      <c r="O34" s="1834"/>
      <c r="P34" s="1480" t="s">
        <v>259</v>
      </c>
      <c r="Q34" s="1848" t="s">
        <v>270</v>
      </c>
      <c r="R34" s="1848" t="s">
        <v>1001</v>
      </c>
      <c r="S34" s="1848" t="s">
        <v>1002</v>
      </c>
      <c r="T34" s="1848" t="s">
        <v>1002</v>
      </c>
      <c r="U34" s="1848" t="s">
        <v>1002</v>
      </c>
      <c r="V34" s="1848" t="s">
        <v>1014</v>
      </c>
      <c r="W34" s="1848" t="s">
        <v>1014</v>
      </c>
      <c r="X34" s="1848" t="s">
        <v>1014</v>
      </c>
      <c r="Y34" s="1848" t="s">
        <v>1032</v>
      </c>
      <c r="Z34" s="1848" t="s">
        <v>1032</v>
      </c>
      <c r="AC34" s="1415"/>
      <c r="AD34" s="1410"/>
      <c r="AE34" s="1410"/>
      <c r="AF34" s="1410"/>
      <c r="AG34" s="1410"/>
      <c r="AH34" s="1416"/>
      <c r="AI34" s="1410"/>
      <c r="AJ34" s="1410"/>
      <c r="AK34" s="1410"/>
      <c r="AL34" s="1410"/>
      <c r="AM34" s="1410"/>
      <c r="AN34" s="1410"/>
      <c r="AO34" s="1410"/>
      <c r="AQ34" s="462"/>
    </row>
    <row r="35" spans="1:43" ht="82.5" customHeight="1" thickBot="1" x14ac:dyDescent="0.35">
      <c r="A35" s="1561"/>
      <c r="B35" s="1562"/>
      <c r="C35" s="1562"/>
      <c r="D35" s="1562"/>
      <c r="E35" s="1563"/>
      <c r="F35" s="1563"/>
      <c r="G35" s="1564"/>
      <c r="H35" s="1474"/>
      <c r="I35" s="1475" t="s">
        <v>260</v>
      </c>
      <c r="J35" s="1565" t="str">
        <f>J160</f>
        <v xml:space="preserve">   .</v>
      </c>
      <c r="K35" s="1560"/>
      <c r="L35" s="940"/>
      <c r="M35" s="1645">
        <f t="shared" si="0"/>
        <v>33</v>
      </c>
      <c r="N35" s="1834"/>
      <c r="O35" s="1834"/>
      <c r="P35" s="1481" t="s">
        <v>260</v>
      </c>
      <c r="Q35" s="1850" t="str">
        <f>""</f>
        <v/>
      </c>
      <c r="R35" s="1850" t="str">
        <f>""</f>
        <v/>
      </c>
      <c r="S35" s="1850" t="str">
        <f>""</f>
        <v/>
      </c>
      <c r="T35" s="1850" t="str">
        <f>""</f>
        <v/>
      </c>
      <c r="U35" s="1850" t="str">
        <f>""</f>
        <v/>
      </c>
      <c r="V35" s="1850" t="str">
        <f>""</f>
        <v/>
      </c>
      <c r="W35" s="1850" t="str">
        <f>""</f>
        <v/>
      </c>
      <c r="X35" s="1850" t="str">
        <f>""</f>
        <v/>
      </c>
      <c r="Y35" s="1850" t="str">
        <f>""</f>
        <v/>
      </c>
      <c r="Z35" s="1851" t="str">
        <f>""</f>
        <v/>
      </c>
      <c r="AC35" s="1410"/>
      <c r="AD35" s="1410"/>
      <c r="AE35" s="1410"/>
      <c r="AF35" s="1410"/>
      <c r="AG35" s="1410"/>
      <c r="AH35" s="1410"/>
      <c r="AI35" s="1410"/>
      <c r="AJ35" s="1410"/>
      <c r="AK35" s="1410"/>
      <c r="AL35" s="1410"/>
      <c r="AM35" s="1410"/>
      <c r="AN35" s="1410"/>
      <c r="AO35" s="1410"/>
      <c r="AQ35" s="462"/>
    </row>
    <row r="36" spans="1:43" ht="26.4" thickTop="1" x14ac:dyDescent="0.3">
      <c r="A36" s="1537">
        <f>Admin!C29</f>
        <v>1</v>
      </c>
      <c r="B36" s="1566" t="str">
        <f>CONCATENATE(Admin!D29,"")</f>
        <v>Extent and Nature of Government Fiscal Support</v>
      </c>
      <c r="C36" s="447"/>
      <c r="D36" s="1538"/>
      <c r="E36" s="1539">
        <f>Admin!J29</f>
        <v>5</v>
      </c>
      <c r="F36" s="1539" t="str">
        <f>IF(E36&lt;$F$2,B36,"")</f>
        <v/>
      </c>
      <c r="G36" s="1539"/>
      <c r="H36" s="446"/>
      <c r="I36" s="1451"/>
      <c r="J36" s="1510">
        <f>HLOOKUP($H$4,$Q$3:$Z$42,M36,FALSE)</f>
        <v>0</v>
      </c>
      <c r="K36" s="1511"/>
      <c r="L36" s="940"/>
      <c r="M36" s="1645">
        <f t="shared" si="0"/>
        <v>34</v>
      </c>
      <c r="N36" s="1834"/>
      <c r="O36" s="1834" t="str">
        <f>B36</f>
        <v>Extent and Nature of Government Fiscal Support</v>
      </c>
      <c r="P36" s="1482"/>
      <c r="Q36" s="1852"/>
      <c r="R36" s="1852"/>
      <c r="S36" s="1852"/>
      <c r="T36" s="1852"/>
      <c r="U36" s="1852"/>
      <c r="V36" s="1852"/>
      <c r="W36" s="1852"/>
      <c r="X36" s="1852"/>
      <c r="Y36" s="1852"/>
      <c r="Z36" s="1853"/>
      <c r="AC36" s="1410"/>
      <c r="AD36" s="1410"/>
      <c r="AE36" s="1410"/>
      <c r="AF36" s="1410"/>
      <c r="AG36" s="1410"/>
      <c r="AH36" s="1410"/>
      <c r="AI36" s="1410"/>
      <c r="AJ36" s="1410"/>
      <c r="AK36" s="1410"/>
      <c r="AL36" s="1410"/>
      <c r="AM36" s="1410"/>
      <c r="AN36" s="1410"/>
      <c r="AO36" s="1410"/>
      <c r="AQ36" s="462"/>
    </row>
    <row r="37" spans="1:43" ht="39.75" customHeight="1" x14ac:dyDescent="0.3">
      <c r="A37" s="1537">
        <f>Admin!C30</f>
        <v>2</v>
      </c>
      <c r="B37" s="1566" t="str">
        <f>CONCATENATE(Admin!D30,"")</f>
        <v>Quantification of Fiscal Support</v>
      </c>
      <c r="C37" s="447"/>
      <c r="D37" s="1538"/>
      <c r="E37" s="1539">
        <f>Admin!J30</f>
        <v>3.66</v>
      </c>
      <c r="F37" s="1539" t="str">
        <f>IF(E37&lt;$F$2,B37,"")</f>
        <v/>
      </c>
      <c r="G37" s="1539"/>
      <c r="H37" s="446"/>
      <c r="I37" s="1451"/>
      <c r="J37" s="1510">
        <f>HLOOKUP($H$4,$Q$3:$Z$42,M37,FALSE)</f>
        <v>0</v>
      </c>
      <c r="K37" s="1511"/>
      <c r="L37" s="940"/>
      <c r="M37" s="1645">
        <f t="shared" si="0"/>
        <v>35</v>
      </c>
      <c r="N37" s="1834"/>
      <c r="O37" s="1834" t="str">
        <f t="shared" ref="O37" si="12">B37</f>
        <v>Quantification of Fiscal Support</v>
      </c>
      <c r="P37" s="1482"/>
      <c r="Q37" s="1852"/>
      <c r="R37" s="1852"/>
      <c r="S37" s="1852"/>
      <c r="T37" s="1852"/>
      <c r="U37" s="1852"/>
      <c r="V37" s="1852"/>
      <c r="W37" s="1852"/>
      <c r="X37" s="1852"/>
      <c r="Y37" s="1852"/>
      <c r="Z37" s="1853"/>
      <c r="AC37" s="1415"/>
      <c r="AD37" s="1410"/>
      <c r="AE37" s="1410"/>
      <c r="AF37" s="1410"/>
      <c r="AG37" s="1410"/>
      <c r="AH37" s="1416"/>
      <c r="AI37" s="1410"/>
      <c r="AJ37" s="1410"/>
      <c r="AK37" s="1410"/>
      <c r="AL37" s="1410"/>
      <c r="AM37" s="1410"/>
      <c r="AN37" s="1410"/>
      <c r="AO37" s="1410"/>
      <c r="AQ37" s="462"/>
    </row>
    <row r="38" spans="1:43" ht="129" customHeight="1" x14ac:dyDescent="0.3">
      <c r="A38" s="1567" t="str">
        <f>Admin!B31</f>
        <v>VI</v>
      </c>
      <c r="B38" s="2513" t="str">
        <f>Admin!C31</f>
        <v>Govt’s institutional Capability</v>
      </c>
      <c r="C38" s="2513"/>
      <c r="D38" s="2513"/>
      <c r="E38" s="1568">
        <f>'Data Analysis'!D203</f>
        <v>5.0000000000000009</v>
      </c>
      <c r="F38" s="1568">
        <f>F4</f>
        <v>4</v>
      </c>
      <c r="G38" s="1569">
        <f>AVERAGE(E40:E42)</f>
        <v>5</v>
      </c>
      <c r="H38" s="1476" t="str">
        <f>'Data Analysis'!G203</f>
        <v>Very Strong</v>
      </c>
      <c r="I38" s="1477" t="s">
        <v>259</v>
      </c>
      <c r="J38" s="1570" t="str">
        <f>IF(OR(E168&gt;0,F168&gt;0),J168,HLOOKUP($H$38,$Q$3:$Z$42,M38,FALSE))</f>
        <v xml:space="preserve">The contracting agency has an implementable plan for developing the project . It also has very strong capability and dedicated, experienced personnel to manage the PPP. </v>
      </c>
      <c r="K38" s="1571"/>
      <c r="L38" s="940"/>
      <c r="M38" s="1645">
        <f t="shared" si="0"/>
        <v>36</v>
      </c>
      <c r="N38" s="1834"/>
      <c r="O38" s="1834"/>
      <c r="P38" s="1480" t="s">
        <v>259</v>
      </c>
      <c r="Q38" s="1848" t="s">
        <v>1003</v>
      </c>
      <c r="R38" s="1848" t="s">
        <v>1004</v>
      </c>
      <c r="S38" s="1848" t="s">
        <v>1005</v>
      </c>
      <c r="T38" s="1848" t="s">
        <v>1015</v>
      </c>
      <c r="U38" s="1848" t="s">
        <v>1015</v>
      </c>
      <c r="V38" s="1848" t="s">
        <v>1016</v>
      </c>
      <c r="W38" s="1848" t="s">
        <v>1016</v>
      </c>
      <c r="X38" s="1848" t="s">
        <v>1016</v>
      </c>
      <c r="Y38" s="1848" t="s">
        <v>1033</v>
      </c>
      <c r="Z38" s="1848" t="s">
        <v>1033</v>
      </c>
      <c r="AC38" s="1410"/>
      <c r="AD38" s="1410"/>
      <c r="AE38" s="1410"/>
      <c r="AF38" s="1410"/>
      <c r="AG38" s="1410"/>
      <c r="AH38" s="1410"/>
      <c r="AI38" s="1410"/>
      <c r="AJ38" s="1410"/>
      <c r="AK38" s="1410"/>
      <c r="AL38" s="1410"/>
      <c r="AM38" s="1410"/>
      <c r="AN38" s="1410"/>
      <c r="AO38" s="1410"/>
      <c r="AQ38" s="462"/>
    </row>
    <row r="39" spans="1:43" ht="129" customHeight="1" thickBot="1" x14ac:dyDescent="0.35">
      <c r="A39" s="1572"/>
      <c r="B39" s="1573"/>
      <c r="C39" s="1573"/>
      <c r="D39" s="1573"/>
      <c r="E39" s="1574"/>
      <c r="F39" s="1574"/>
      <c r="G39" s="1575"/>
      <c r="H39" s="1478"/>
      <c r="I39" s="1479" t="s">
        <v>260</v>
      </c>
      <c r="J39" s="1576" t="str">
        <f>J169</f>
        <v xml:space="preserve">      .</v>
      </c>
      <c r="K39" s="1571"/>
      <c r="L39" s="940"/>
      <c r="M39" s="1645">
        <f t="shared" si="0"/>
        <v>37</v>
      </c>
      <c r="N39" s="1834"/>
      <c r="O39" s="1834"/>
      <c r="P39" s="1481" t="s">
        <v>260</v>
      </c>
      <c r="Q39" s="1850" t="s">
        <v>271</v>
      </c>
      <c r="R39" s="1850" t="s">
        <v>271</v>
      </c>
      <c r="S39" s="1850" t="s">
        <v>271</v>
      </c>
      <c r="T39" s="1850" t="s">
        <v>299</v>
      </c>
      <c r="U39" s="1850" t="s">
        <v>299</v>
      </c>
      <c r="V39" s="1850" t="s">
        <v>298</v>
      </c>
      <c r="W39" s="1850" t="s">
        <v>298</v>
      </c>
      <c r="X39" s="1850" t="s">
        <v>298</v>
      </c>
      <c r="Y39" s="1850" t="s">
        <v>297</v>
      </c>
      <c r="Z39" s="1851" t="s">
        <v>297</v>
      </c>
      <c r="AC39" s="1410"/>
      <c r="AD39" s="1410"/>
      <c r="AE39" s="1410"/>
      <c r="AF39" s="1410"/>
      <c r="AG39" s="1410"/>
      <c r="AH39" s="1410"/>
      <c r="AI39" s="1410"/>
      <c r="AJ39" s="1410"/>
      <c r="AK39" s="1410"/>
      <c r="AL39" s="1410"/>
      <c r="AM39" s="1410"/>
      <c r="AN39" s="1410"/>
      <c r="AO39" s="1410"/>
      <c r="AQ39" s="462"/>
    </row>
    <row r="40" spans="1:43" ht="26.4" thickTop="1" x14ac:dyDescent="0.3">
      <c r="A40" s="444">
        <f>Admin!C32</f>
        <v>1</v>
      </c>
      <c r="B40" s="444" t="str">
        <f>CONCATENATE(Admin!D32,"")</f>
        <v>Institutional Capacity</v>
      </c>
      <c r="C40" s="444"/>
      <c r="D40" s="444"/>
      <c r="E40" s="448">
        <f>Admin!J32</f>
        <v>5</v>
      </c>
      <c r="F40" s="448" t="str">
        <f>IF(E40&lt;$F$2,B40,"")</f>
        <v/>
      </c>
      <c r="G40" s="444"/>
      <c r="H40" s="449"/>
      <c r="I40" s="449"/>
      <c r="J40" s="443">
        <f>HLOOKUP($H$4,$Q$3:$Z$42,M40,FALSE)</f>
        <v>0</v>
      </c>
      <c r="K40" s="450">
        <v>5</v>
      </c>
      <c r="M40" s="1646">
        <f t="shared" si="0"/>
        <v>38</v>
      </c>
      <c r="N40" s="1834"/>
      <c r="O40" s="1834" t="str">
        <f>B40</f>
        <v>Institutional Capacity</v>
      </c>
      <c r="P40" s="1391"/>
      <c r="Q40" s="1856"/>
      <c r="R40" s="1856"/>
      <c r="S40" s="1856"/>
      <c r="T40" s="1856"/>
      <c r="U40" s="1856"/>
      <c r="V40" s="1856"/>
      <c r="W40" s="1856"/>
      <c r="X40" s="1856"/>
      <c r="Y40" s="1856"/>
      <c r="Z40" s="1856"/>
      <c r="AC40" s="1410"/>
      <c r="AD40" s="1410"/>
      <c r="AE40" s="1410"/>
      <c r="AF40" s="1410"/>
      <c r="AG40" s="1410"/>
      <c r="AH40" s="1410"/>
      <c r="AI40" s="1410"/>
      <c r="AJ40" s="1410"/>
      <c r="AK40" s="1410"/>
      <c r="AL40" s="1410"/>
      <c r="AM40" s="1410"/>
      <c r="AN40" s="1410"/>
      <c r="AO40" s="1410"/>
      <c r="AQ40" s="462"/>
    </row>
    <row r="41" spans="1:43" ht="46.8" x14ac:dyDescent="0.3">
      <c r="A41" s="444">
        <f>Admin!C33</f>
        <v>2</v>
      </c>
      <c r="B41" s="444" t="str">
        <f>CONCATENATE(Admin!D33,"")</f>
        <v>Preparedness of the Contracting Agency for the Project</v>
      </c>
      <c r="C41" s="444"/>
      <c r="D41" s="444"/>
      <c r="E41" s="448">
        <f>Admin!J33</f>
        <v>5</v>
      </c>
      <c r="F41" s="448" t="str">
        <f>IF(E41&lt;$F$2,B41,"")</f>
        <v/>
      </c>
      <c r="G41" s="444"/>
      <c r="H41" s="449"/>
      <c r="I41" s="449"/>
      <c r="J41" s="443">
        <f>HLOOKUP($H$4,$Q$3:$Z$42,M41,FALSE)</f>
        <v>0</v>
      </c>
      <c r="K41" s="450">
        <v>5</v>
      </c>
      <c r="M41" s="1646">
        <f t="shared" si="0"/>
        <v>39</v>
      </c>
      <c r="N41" s="1834"/>
      <c r="O41" s="1834" t="str">
        <f t="shared" ref="O41:O43" si="13">B41</f>
        <v>Preparedness of the Contracting Agency for the Project</v>
      </c>
      <c r="P41" s="1391"/>
      <c r="Q41" s="1856"/>
      <c r="R41" s="1856"/>
      <c r="S41" s="1856"/>
      <c r="T41" s="1856"/>
      <c r="U41" s="1856"/>
      <c r="V41" s="1856"/>
      <c r="W41" s="1856"/>
      <c r="X41" s="1856"/>
      <c r="Y41" s="1856"/>
      <c r="Z41" s="1856"/>
      <c r="AC41" s="1410"/>
      <c r="AD41" s="1410"/>
      <c r="AE41" s="1410"/>
      <c r="AF41" s="1410"/>
      <c r="AG41" s="1410"/>
      <c r="AH41" s="1410"/>
      <c r="AI41" s="1410"/>
      <c r="AJ41" s="1410"/>
      <c r="AK41" s="1410"/>
      <c r="AL41" s="1410"/>
      <c r="AM41" s="1410"/>
      <c r="AN41" s="1410"/>
      <c r="AO41" s="1410"/>
      <c r="AQ41" s="462"/>
    </row>
    <row r="42" spans="1:43" ht="31.2" x14ac:dyDescent="0.3">
      <c r="A42" s="444">
        <f>Admin!C34</f>
        <v>3</v>
      </c>
      <c r="B42" s="444" t="str">
        <f>CONCATENATE(Admin!D34,"")</f>
        <v>Project Execution Capability of the Contracting Agency</v>
      </c>
      <c r="C42" s="444"/>
      <c r="D42" s="444"/>
      <c r="E42" s="448">
        <f>Admin!J34</f>
        <v>5</v>
      </c>
      <c r="F42" s="448" t="str">
        <f>IF(E42&lt;$F$2,B42,"")</f>
        <v/>
      </c>
      <c r="G42" s="444"/>
      <c r="H42" s="449"/>
      <c r="I42" s="449"/>
      <c r="J42" s="443">
        <f>HLOOKUP($H$4,$Q$3:$Z$42,M42,FALSE)</f>
        <v>0</v>
      </c>
      <c r="K42" s="450">
        <v>5</v>
      </c>
      <c r="M42" s="1646">
        <f t="shared" si="0"/>
        <v>40</v>
      </c>
      <c r="N42" s="1834"/>
      <c r="O42" s="1834" t="str">
        <f t="shared" si="13"/>
        <v>Project Execution Capability of the Contracting Agency</v>
      </c>
      <c r="P42" s="1391"/>
      <c r="Q42" s="1856"/>
      <c r="R42" s="1856"/>
      <c r="S42" s="1856"/>
      <c r="T42" s="1856"/>
      <c r="U42" s="1856"/>
      <c r="V42" s="1856"/>
      <c r="W42" s="1856"/>
      <c r="X42" s="1856"/>
      <c r="Y42" s="1856">
        <v>0</v>
      </c>
      <c r="Z42" s="1856"/>
      <c r="AC42" s="1410"/>
      <c r="AD42" s="1410"/>
      <c r="AE42" s="1410"/>
      <c r="AF42" s="1410"/>
      <c r="AG42" s="1410"/>
      <c r="AH42" s="1410"/>
      <c r="AI42" s="1410"/>
      <c r="AJ42" s="1410"/>
      <c r="AK42" s="1410"/>
      <c r="AL42" s="1410"/>
      <c r="AM42" s="1410"/>
      <c r="AN42" s="1410"/>
      <c r="AO42" s="1410"/>
      <c r="AQ42" s="462"/>
    </row>
    <row r="43" spans="1:43" ht="26.4" thickBot="1" x14ac:dyDescent="0.35">
      <c r="H43" s="451"/>
      <c r="I43" s="451"/>
      <c r="J43" s="443"/>
      <c r="M43" s="1647">
        <f t="shared" si="0"/>
        <v>41</v>
      </c>
      <c r="N43" s="1834"/>
      <c r="O43" s="1834">
        <f t="shared" si="13"/>
        <v>0</v>
      </c>
      <c r="P43" s="1391"/>
      <c r="Q43" s="1856"/>
      <c r="R43" s="1856"/>
      <c r="S43" s="1856"/>
      <c r="T43" s="1856"/>
      <c r="U43" s="1856"/>
      <c r="V43" s="1856"/>
      <c r="W43" s="1856"/>
      <c r="X43" s="1856"/>
      <c r="Y43" s="1856"/>
      <c r="Z43" s="1856"/>
      <c r="AC43" s="1410"/>
      <c r="AD43" s="1410"/>
      <c r="AE43" s="1410"/>
      <c r="AF43" s="1410"/>
      <c r="AG43" s="1410"/>
      <c r="AH43" s="1410"/>
      <c r="AI43" s="1410"/>
      <c r="AJ43" s="1410"/>
      <c r="AK43" s="1410"/>
      <c r="AL43" s="1410"/>
      <c r="AM43" s="1410"/>
      <c r="AN43" s="1410"/>
      <c r="AO43" s="1410"/>
      <c r="AQ43" s="462"/>
    </row>
    <row r="44" spans="1:43" x14ac:dyDescent="0.3">
      <c r="AC44" s="1410"/>
      <c r="AD44" s="1410"/>
      <c r="AE44" s="1410"/>
      <c r="AF44" s="1410"/>
      <c r="AG44" s="1410"/>
      <c r="AH44" s="1410"/>
      <c r="AI44" s="1410"/>
      <c r="AJ44" s="1410"/>
      <c r="AK44" s="1410"/>
      <c r="AL44" s="1410"/>
      <c r="AM44" s="1410"/>
      <c r="AN44" s="1410"/>
      <c r="AO44" s="1410"/>
      <c r="AQ44" s="462"/>
    </row>
    <row r="45" spans="1:43" x14ac:dyDescent="0.3">
      <c r="AC45" s="1410"/>
      <c r="AD45" s="1440"/>
      <c r="AE45" s="1440"/>
      <c r="AF45" s="1441"/>
      <c r="AG45" s="1442"/>
      <c r="AH45" s="1410"/>
      <c r="AI45" s="1410"/>
      <c r="AJ45" s="1410"/>
      <c r="AK45" s="1410"/>
      <c r="AL45" s="1410"/>
      <c r="AM45" s="1410"/>
      <c r="AN45" s="1410"/>
      <c r="AO45" s="1410"/>
      <c r="AQ45" s="462"/>
    </row>
    <row r="46" spans="1:43" x14ac:dyDescent="0.3">
      <c r="A46" s="462"/>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1489"/>
      <c r="AD46" s="1489"/>
      <c r="AE46" s="1490"/>
      <c r="AF46" s="1491"/>
      <c r="AG46" s="1492"/>
      <c r="AH46" s="1489"/>
      <c r="AI46" s="1489"/>
      <c r="AJ46" s="1489"/>
      <c r="AK46" s="1489"/>
      <c r="AL46" s="1489"/>
      <c r="AM46" s="1489"/>
      <c r="AN46" s="1489"/>
      <c r="AO46" s="1489"/>
      <c r="AP46" s="462"/>
      <c r="AQ46" s="462"/>
    </row>
    <row r="47" spans="1:43" x14ac:dyDescent="0.3">
      <c r="AC47" s="1410"/>
      <c r="AD47" s="1410"/>
      <c r="AE47" s="1410"/>
      <c r="AF47" s="1410"/>
      <c r="AG47" s="1410"/>
      <c r="AH47" s="1410"/>
      <c r="AI47" s="1410"/>
      <c r="AJ47" s="1410"/>
      <c r="AK47" s="1410"/>
      <c r="AL47" s="1410"/>
      <c r="AM47" s="1410"/>
      <c r="AN47" s="1410"/>
      <c r="AO47" s="1410"/>
    </row>
    <row r="48" spans="1:43" x14ac:dyDescent="0.3">
      <c r="AC48" s="1410"/>
      <c r="AD48" s="1410"/>
      <c r="AE48" s="1410"/>
      <c r="AF48" s="1410"/>
      <c r="AG48" s="1410"/>
      <c r="AH48" s="1410"/>
      <c r="AI48" s="1410"/>
      <c r="AJ48" s="1410"/>
      <c r="AK48" s="1410"/>
      <c r="AL48" s="1410"/>
      <c r="AM48" s="1410"/>
      <c r="AN48" s="1410"/>
      <c r="AO48" s="1410"/>
    </row>
    <row r="49" spans="1:41" x14ac:dyDescent="0.3">
      <c r="AC49" s="1410"/>
      <c r="AD49" s="1410"/>
      <c r="AE49" s="1410"/>
      <c r="AF49" s="1410"/>
      <c r="AG49" s="1410"/>
      <c r="AH49" s="1410"/>
      <c r="AI49" s="1410"/>
      <c r="AJ49" s="1410"/>
      <c r="AK49" s="1410"/>
      <c r="AL49" s="1410"/>
      <c r="AM49" s="1410"/>
      <c r="AN49" s="1410"/>
      <c r="AO49" s="1410"/>
    </row>
    <row r="50" spans="1:41" x14ac:dyDescent="0.3">
      <c r="AC50" s="1410"/>
      <c r="AD50" s="1410"/>
      <c r="AE50" s="1410"/>
      <c r="AF50" s="1410"/>
      <c r="AG50" s="1410"/>
      <c r="AH50" s="1410"/>
      <c r="AI50" s="1410"/>
      <c r="AJ50" s="1410"/>
      <c r="AK50" s="1410"/>
      <c r="AL50" s="1410"/>
      <c r="AM50" s="1410"/>
      <c r="AN50" s="1410"/>
      <c r="AO50" s="1410"/>
    </row>
    <row r="51" spans="1:41" x14ac:dyDescent="0.3">
      <c r="AC51" s="1410"/>
      <c r="AD51" s="1410"/>
      <c r="AE51" s="1410"/>
      <c r="AF51" s="1410"/>
      <c r="AG51" s="1410"/>
      <c r="AH51" s="1410"/>
      <c r="AI51" s="1410"/>
      <c r="AJ51" s="1410"/>
      <c r="AK51" s="1410"/>
      <c r="AL51" s="1410"/>
      <c r="AM51" s="1410"/>
      <c r="AN51" s="1410"/>
      <c r="AO51" s="1410"/>
    </row>
    <row r="52" spans="1:41" x14ac:dyDescent="0.3">
      <c r="A52" s="1604" t="s">
        <v>647</v>
      </c>
      <c r="B52" s="1603"/>
      <c r="C52" s="1603"/>
      <c r="D52" s="1603"/>
      <c r="E52" s="1603"/>
      <c r="F52" s="1603"/>
      <c r="G52" s="1603"/>
      <c r="H52" s="1603"/>
      <c r="I52" s="1603"/>
      <c r="J52" s="1603"/>
      <c r="K52" s="1603"/>
      <c r="L52" s="1603"/>
      <c r="M52" s="1603"/>
      <c r="N52" s="1603"/>
      <c r="O52" s="1603"/>
      <c r="P52" s="1603"/>
      <c r="Q52" s="1603"/>
      <c r="R52" s="1603"/>
      <c r="S52" s="1603"/>
      <c r="T52" s="1603"/>
      <c r="U52" s="1603"/>
      <c r="V52" s="1603"/>
      <c r="AC52" s="1410"/>
      <c r="AD52" s="1410"/>
      <c r="AE52" s="1410"/>
      <c r="AF52" s="1410"/>
      <c r="AG52" s="1410"/>
      <c r="AH52" s="1410"/>
      <c r="AI52" s="1410"/>
      <c r="AJ52" s="1410"/>
      <c r="AK52" s="1410"/>
      <c r="AL52" s="1410"/>
      <c r="AM52" s="1410"/>
      <c r="AN52" s="1410"/>
      <c r="AO52" s="1410"/>
    </row>
    <row r="53" spans="1:41" x14ac:dyDescent="0.3">
      <c r="A53" s="1618" t="s">
        <v>31</v>
      </c>
      <c r="B53" s="1605" t="s">
        <v>0</v>
      </c>
      <c r="C53" s="1605" t="s">
        <v>47</v>
      </c>
      <c r="D53" s="1606"/>
      <c r="E53" s="1606"/>
      <c r="F53" s="1606"/>
      <c r="G53" s="1615" t="s">
        <v>130</v>
      </c>
      <c r="H53" s="1615" t="s">
        <v>1</v>
      </c>
      <c r="I53" s="1616" t="s">
        <v>648</v>
      </c>
      <c r="J53" s="1616" t="s">
        <v>649</v>
      </c>
      <c r="K53" s="1616"/>
      <c r="L53" s="1616"/>
      <c r="M53" s="1616" t="s">
        <v>660</v>
      </c>
      <c r="N53" s="1616"/>
      <c r="O53" s="1616"/>
      <c r="P53" s="1616"/>
      <c r="Q53" s="1616" t="s">
        <v>652</v>
      </c>
      <c r="R53" s="1616"/>
      <c r="S53" s="1616" t="s">
        <v>659</v>
      </c>
      <c r="T53" s="1616"/>
      <c r="U53" s="1616" t="s">
        <v>666</v>
      </c>
      <c r="V53" s="1616" t="s">
        <v>716</v>
      </c>
      <c r="AC53" s="1410"/>
      <c r="AD53" s="1410"/>
      <c r="AE53" s="1410"/>
      <c r="AF53" s="1410"/>
      <c r="AG53" s="1410"/>
      <c r="AH53" s="1410"/>
      <c r="AI53" s="1410"/>
      <c r="AJ53" s="1410"/>
      <c r="AK53" s="1410"/>
      <c r="AL53" s="1410"/>
      <c r="AM53" s="1410"/>
      <c r="AN53" s="1410"/>
      <c r="AO53" s="1410"/>
    </row>
    <row r="54" spans="1:41" x14ac:dyDescent="0.3">
      <c r="A54" s="1619">
        <v>1</v>
      </c>
      <c r="B54" s="1609" t="str">
        <f>B4</f>
        <v>Strategic Suitability</v>
      </c>
      <c r="C54" s="1610"/>
      <c r="D54" s="1610"/>
      <c r="E54" s="1610"/>
      <c r="F54" s="1610"/>
      <c r="G54" s="1610"/>
      <c r="H54" s="1613">
        <f>E4</f>
        <v>5</v>
      </c>
      <c r="I54" s="1610"/>
      <c r="J54" s="1609">
        <f>IF(H54&lt;=$F$2,1,0)</f>
        <v>0</v>
      </c>
      <c r="K54" s="1610">
        <f>IF(J54&gt;0,1,0)</f>
        <v>0</v>
      </c>
      <c r="L54" s="1610" t="str">
        <f>IF(OR(H54&lt;$F$2,V54&gt;0),B54,"")</f>
        <v/>
      </c>
      <c r="M54" s="1610"/>
      <c r="N54" s="1610" t="str">
        <f>IF(OR(J54&gt;0,V54&gt;0),CONCATENATE("* ",L54),"")</f>
        <v/>
      </c>
      <c r="O54" s="1610"/>
      <c r="P54" s="1610"/>
      <c r="Q54" s="1610"/>
      <c r="R54" s="1610"/>
      <c r="S54" s="1610"/>
      <c r="T54" s="1610"/>
      <c r="U54" s="1610" t="str">
        <f>CONCATENATE(S55,"   ",S56,"   ",S57,"   ",S58,".")</f>
        <v xml:space="preserve">         .</v>
      </c>
      <c r="V54" s="1610">
        <f>SUM(I55:I58)</f>
        <v>0</v>
      </c>
      <c r="AC54" s="1410"/>
      <c r="AD54" s="1410"/>
      <c r="AE54" s="1410"/>
      <c r="AF54" s="1410"/>
      <c r="AG54" s="1410"/>
      <c r="AH54" s="1410"/>
      <c r="AI54" s="1410"/>
      <c r="AJ54" s="1410"/>
      <c r="AK54" s="1410"/>
      <c r="AL54" s="1410"/>
      <c r="AM54" s="1410"/>
      <c r="AN54" s="1410"/>
      <c r="AO54" s="1410"/>
    </row>
    <row r="55" spans="1:41" x14ac:dyDescent="0.3">
      <c r="A55" s="1589"/>
      <c r="C55" s="1607" t="str">
        <f>B6</f>
        <v>Alignment with government priorities</v>
      </c>
      <c r="G55" s="1608">
        <f>Admin!J5</f>
        <v>5</v>
      </c>
      <c r="I55" s="1614">
        <f t="shared" ref="I55:I58" si="14">IF(C55="Not Applicable",0,IF(G55&lt;=$F$2,1,0))</f>
        <v>0</v>
      </c>
      <c r="P55" s="441">
        <f>IF(I55&gt;0,1,0)</f>
        <v>0</v>
      </c>
      <c r="Q55" s="441" t="str">
        <f>IF(I55=1,C55,"")</f>
        <v/>
      </c>
      <c r="S55" s="441" t="str">
        <f>IF(P55&gt;0,CONCATENATE("*",Q55),"")</f>
        <v/>
      </c>
      <c r="AH55" s="1410"/>
      <c r="AI55" s="1410"/>
      <c r="AJ55" s="1410"/>
      <c r="AK55" s="1410"/>
      <c r="AL55" s="1410"/>
      <c r="AM55" s="1410"/>
      <c r="AN55" s="1410"/>
      <c r="AO55" s="1410"/>
    </row>
    <row r="56" spans="1:41" x14ac:dyDescent="0.3">
      <c r="A56" s="1589"/>
      <c r="C56" s="1607" t="str">
        <f>B7</f>
        <v>Identification of service need</v>
      </c>
      <c r="G56" s="1608">
        <f>Admin!J6</f>
        <v>5</v>
      </c>
      <c r="I56" s="1614">
        <f t="shared" si="14"/>
        <v>0</v>
      </c>
      <c r="P56" s="441">
        <f>IF(I56&gt;0,IF(AND(I56=1,SUM($I$55:I55)&gt;0),SUM($I$55:I55)+1,1),0)</f>
        <v>0</v>
      </c>
      <c r="Q56" s="441" t="str">
        <f t="shared" ref="Q56:Q84" si="15">IF(I56=1,C56,"")</f>
        <v/>
      </c>
      <c r="S56" s="441" t="str">
        <f t="shared" ref="S56:S58" si="16">IF(P56&gt;0,CONCATENATE("*",Q56),"")</f>
        <v/>
      </c>
      <c r="AH56" s="1392"/>
      <c r="AI56" s="1392"/>
      <c r="AJ56" s="1392"/>
      <c r="AK56" s="1392"/>
      <c r="AL56" s="1392"/>
      <c r="AM56" s="1392"/>
      <c r="AN56" s="1392"/>
      <c r="AO56" s="1392"/>
    </row>
    <row r="57" spans="1:41" x14ac:dyDescent="0.3">
      <c r="A57" s="1589"/>
      <c r="C57" s="1607" t="str">
        <f>B8</f>
        <v>Assessment of service delivery options</v>
      </c>
      <c r="G57" s="1608">
        <f>Admin!J7</f>
        <v>5</v>
      </c>
      <c r="I57" s="1614">
        <f t="shared" si="14"/>
        <v>0</v>
      </c>
      <c r="P57" s="441">
        <f>IF(I57&gt;0,IF(AND(I57=1,SUM($I$55:I56)&gt;0),SUM($I$55:I56)+1,1),0)</f>
        <v>0</v>
      </c>
      <c r="Q57" s="441" t="str">
        <f t="shared" si="15"/>
        <v/>
      </c>
      <c r="S57" s="441" t="str">
        <f t="shared" si="16"/>
        <v/>
      </c>
      <c r="AH57" s="1410"/>
      <c r="AI57" s="1410"/>
      <c r="AJ57" s="1410"/>
      <c r="AK57" s="1410"/>
      <c r="AL57" s="1410"/>
      <c r="AM57" s="1410"/>
      <c r="AN57" s="1410"/>
      <c r="AO57" s="1410"/>
    </row>
    <row r="58" spans="1:41" x14ac:dyDescent="0.3">
      <c r="A58" s="1589"/>
      <c r="C58" s="1607" t="str">
        <f>B9</f>
        <v>Scoping of the project</v>
      </c>
      <c r="G58" s="1608">
        <f>Admin!J8</f>
        <v>5</v>
      </c>
      <c r="I58" s="1614">
        <f t="shared" si="14"/>
        <v>0</v>
      </c>
      <c r="P58" s="441">
        <f>IF(I58&gt;0,IF(AND(I58=1,SUM($I$55:I57)&gt;0),SUM($I$55:I57)+1,1),0)</f>
        <v>0</v>
      </c>
      <c r="Q58" s="441" t="str">
        <f t="shared" si="15"/>
        <v/>
      </c>
      <c r="S58" s="441" t="str">
        <f t="shared" si="16"/>
        <v/>
      </c>
      <c r="AH58" s="1410"/>
      <c r="AI58" s="1410"/>
      <c r="AJ58" s="1410"/>
      <c r="AK58" s="1410"/>
      <c r="AL58" s="1410"/>
      <c r="AM58" s="1410"/>
      <c r="AN58" s="1410"/>
      <c r="AO58" s="1410"/>
    </row>
    <row r="59" spans="1:41" x14ac:dyDescent="0.3">
      <c r="A59" s="1619">
        <v>2</v>
      </c>
      <c r="B59" s="1609" t="str">
        <f>B10</f>
        <v>Preliminary Feasibility</v>
      </c>
      <c r="C59" s="1610"/>
      <c r="D59" s="1610"/>
      <c r="E59" s="1610"/>
      <c r="F59" s="1610"/>
      <c r="G59" s="1610"/>
      <c r="H59" s="1612">
        <f ca="1">E10</f>
        <v>5</v>
      </c>
      <c r="I59" s="1610"/>
      <c r="J59" s="1609">
        <f ca="1">IF(H59&lt;=$F$2,1,0)</f>
        <v>0</v>
      </c>
      <c r="K59" s="1610">
        <f ca="1">IF(AND(J59=1,SUM(J$54:$J58)&gt;0),SUM(J$54:$J58)+1,0)</f>
        <v>0</v>
      </c>
      <c r="L59" s="1610" t="str">
        <f ca="1">IF(OR(H59&lt;$F$2,V59&gt;0),B59,"")</f>
        <v/>
      </c>
      <c r="M59" s="1610"/>
      <c r="N59" s="1610" t="str">
        <f ca="1">IF(OR(J59&gt;0,V59&gt;0),CONCATENATE("* ",L59),"")</f>
        <v/>
      </c>
      <c r="P59" s="1610">
        <f>IF(I59&gt;0,IF(AND(I59=1,SUM($I$55:I58)&gt;0),SUM($I$55:I58)+1,1),0)</f>
        <v>0</v>
      </c>
      <c r="Q59" s="1610" t="str">
        <f t="shared" si="15"/>
        <v/>
      </c>
      <c r="R59" s="1610"/>
      <c r="S59" s="1610" t="str">
        <f t="shared" ref="S59:S81" si="17">IF(P59&gt;0,CONCATENATE(P59,". ",Q59),"")</f>
        <v/>
      </c>
      <c r="T59" s="1610"/>
      <c r="U59" s="1610" t="str">
        <f ca="1">CONCATENATE(S60,"   ",S61,"   ",S62,"   ",S63,"   ",S64,"   ",S65,".")</f>
        <v xml:space="preserve">               .</v>
      </c>
      <c r="V59" s="1610">
        <f ca="1">SUM(I60:I65)</f>
        <v>0</v>
      </c>
      <c r="AH59" s="1410"/>
      <c r="AI59" s="1410"/>
      <c r="AJ59" s="1410"/>
      <c r="AK59" s="1410"/>
      <c r="AL59" s="1410"/>
      <c r="AM59" s="1410"/>
      <c r="AN59" s="1410"/>
      <c r="AO59" s="1410"/>
    </row>
    <row r="60" spans="1:41" x14ac:dyDescent="0.3">
      <c r="A60" s="1589"/>
      <c r="C60" s="441" t="str">
        <f t="shared" ref="C60:C65" si="18">B13</f>
        <v>Technical Prefeasibility</v>
      </c>
      <c r="G60" s="1608">
        <f>Admin!J10</f>
        <v>5</v>
      </c>
      <c r="I60" s="1614">
        <f t="shared" ref="I60:I65" si="19">IF(C60="Not Applicable",0,IF(G60&lt;=$F$2,1,0))</f>
        <v>0</v>
      </c>
      <c r="P60" s="441">
        <f>IF(I60&gt;0,IF(AND(I60=1,SUM($I$55:I59)&gt;0),SUM($I$55:I59)+1,1),0)</f>
        <v>0</v>
      </c>
      <c r="Q60" s="441" t="str">
        <f t="shared" si="15"/>
        <v/>
      </c>
      <c r="S60" s="441" t="str">
        <f t="shared" ref="S60:S65" si="20">IF(P60&gt;0,CONCATENATE("*",Q60),"")</f>
        <v/>
      </c>
      <c r="AH60" s="1410"/>
      <c r="AI60" s="1410"/>
      <c r="AJ60" s="1410"/>
      <c r="AK60" s="1410"/>
      <c r="AL60" s="1410"/>
      <c r="AM60" s="1410"/>
      <c r="AN60" s="1410"/>
      <c r="AO60" s="1410"/>
    </row>
    <row r="61" spans="1:41" x14ac:dyDescent="0.3">
      <c r="A61" s="1589"/>
      <c r="C61" s="441" t="str">
        <f t="shared" si="18"/>
        <v>Environmental Sustainability</v>
      </c>
      <c r="G61" s="1608">
        <f>Admin!J11</f>
        <v>5</v>
      </c>
      <c r="I61" s="1614">
        <f t="shared" si="19"/>
        <v>0</v>
      </c>
      <c r="P61" s="441">
        <f>IF(I61&gt;0,IF(AND(I61=1,SUM($I$55:I60)&gt;0),SUM($I$55:I60)+1,1),0)</f>
        <v>0</v>
      </c>
      <c r="Q61" s="441" t="str">
        <f t="shared" si="15"/>
        <v/>
      </c>
      <c r="S61" s="441" t="str">
        <f t="shared" si="20"/>
        <v/>
      </c>
      <c r="AH61" s="1410"/>
      <c r="AI61" s="1410"/>
      <c r="AJ61" s="1410"/>
      <c r="AK61" s="1410"/>
      <c r="AL61" s="1410"/>
      <c r="AM61" s="1410"/>
      <c r="AN61" s="1410"/>
      <c r="AO61" s="1410"/>
    </row>
    <row r="62" spans="1:41" x14ac:dyDescent="0.3">
      <c r="A62" s="1589"/>
      <c r="C62" s="441" t="str">
        <f t="shared" si="18"/>
        <v>Social Sustainability</v>
      </c>
      <c r="G62" s="1608">
        <f>Admin!J12</f>
        <v>5</v>
      </c>
      <c r="I62" s="1614">
        <f t="shared" si="19"/>
        <v>0</v>
      </c>
      <c r="P62" s="441">
        <f>IF(I62&gt;0,IF(AND(I62=1,SUM($I$55:I61)&gt;0),SUM($I$55:I61)+1,1),0)</f>
        <v>0</v>
      </c>
      <c r="Q62" s="441" t="str">
        <f t="shared" si="15"/>
        <v/>
      </c>
      <c r="S62" s="441" t="str">
        <f t="shared" si="20"/>
        <v/>
      </c>
    </row>
    <row r="63" spans="1:41" x14ac:dyDescent="0.3">
      <c r="A63" s="1589"/>
      <c r="C63" s="441" t="str">
        <f t="shared" si="18"/>
        <v>Economic Prefeasibility</v>
      </c>
      <c r="G63" s="1608">
        <f>Admin!J13</f>
        <v>5</v>
      </c>
      <c r="I63" s="1614">
        <f t="shared" si="19"/>
        <v>0</v>
      </c>
      <c r="P63" s="441">
        <f>IF(I63&gt;0,IF(AND(I63=1,SUM($I$55:I62)&gt;0),SUM($I$55:I62)+1,1),0)</f>
        <v>0</v>
      </c>
      <c r="Q63" s="441" t="str">
        <f t="shared" si="15"/>
        <v/>
      </c>
      <c r="S63" s="441" t="str">
        <f t="shared" si="20"/>
        <v/>
      </c>
    </row>
    <row r="64" spans="1:41" x14ac:dyDescent="0.3">
      <c r="A64" s="1589"/>
      <c r="C64" s="441" t="str">
        <f t="shared" si="18"/>
        <v>Financial Prefeasibility</v>
      </c>
      <c r="G64" s="1608">
        <f ca="1">Admin!J14</f>
        <v>4.9999999999999991</v>
      </c>
      <c r="I64" s="1614">
        <f t="shared" ca="1" si="19"/>
        <v>0</v>
      </c>
      <c r="P64" s="441">
        <f ca="1">IF(I64&gt;0,IF(AND(I64=1,SUM($I$55:I63)&gt;0),SUM($I$55:I63)+1,1),0)</f>
        <v>0</v>
      </c>
      <c r="Q64" s="441" t="str">
        <f t="shared" ca="1" si="15"/>
        <v/>
      </c>
      <c r="S64" s="441" t="str">
        <f t="shared" ca="1" si="20"/>
        <v/>
      </c>
    </row>
    <row r="65" spans="1:22" x14ac:dyDescent="0.3">
      <c r="A65" s="1589"/>
      <c r="C65" s="441" t="str">
        <f t="shared" si="18"/>
        <v>Legal Prefeasibility</v>
      </c>
      <c r="G65" s="1608">
        <f>Admin!J15</f>
        <v>5</v>
      </c>
      <c r="I65" s="1614">
        <f t="shared" si="19"/>
        <v>0</v>
      </c>
      <c r="P65" s="441">
        <f>IF(I65&gt;0,IF(AND(I65=1,SUM($I$55:I64)&gt;0),SUM($I$55:I64)+1,1),0)</f>
        <v>0</v>
      </c>
      <c r="Q65" s="441" t="str">
        <f t="shared" si="15"/>
        <v/>
      </c>
      <c r="S65" s="441" t="str">
        <f t="shared" si="20"/>
        <v/>
      </c>
    </row>
    <row r="66" spans="1:22" x14ac:dyDescent="0.3">
      <c r="A66" s="1619">
        <v>3</v>
      </c>
      <c r="B66" s="1609" t="str">
        <f>B19</f>
        <v>Risk Assessment</v>
      </c>
      <c r="C66" s="1610"/>
      <c r="D66" s="1610"/>
      <c r="E66" s="1610"/>
      <c r="F66" s="1610"/>
      <c r="G66" s="1611"/>
      <c r="H66" s="1612">
        <f>E19</f>
        <v>5</v>
      </c>
      <c r="I66" s="1610"/>
      <c r="J66" s="1609">
        <f>IF(H66&lt;=$F$2,1,0)</f>
        <v>0</v>
      </c>
      <c r="K66" s="1610">
        <f ca="1">IF(AND(J66=1,SUM(J$54:$J65)&gt;0),SUM(J$54:$J65)+1,0)</f>
        <v>0</v>
      </c>
      <c r="L66" s="1610" t="str">
        <f>IF(OR(H66&lt;$F$2,V66&gt;0),B66,"")</f>
        <v/>
      </c>
      <c r="M66" s="1610"/>
      <c r="N66" s="1610" t="str">
        <f>IF(OR(J66&gt;0,V66&gt;0),CONCATENATE("* ",L66),"")</f>
        <v/>
      </c>
      <c r="P66" s="1610">
        <f>IF(I66&gt;0,IF(AND(I66=1,SUM($I$55:I65)&gt;0),SUM($I$55:I65)+1,1),0)</f>
        <v>0</v>
      </c>
      <c r="Q66" s="1610" t="str">
        <f t="shared" si="15"/>
        <v/>
      </c>
      <c r="R66" s="1610"/>
      <c r="S66" s="441" t="str">
        <f t="shared" si="17"/>
        <v/>
      </c>
      <c r="U66" s="1610" t="str">
        <f>CONCATENATE(S67,"   ",S68,"   ",S69,"   ",S70,"   ",S71,"   ",S72,"   ",S73,"   ",S74,".")</f>
        <v xml:space="preserve">                     .</v>
      </c>
      <c r="V66" s="1610">
        <f>SUM(I67:I74)</f>
        <v>0</v>
      </c>
    </row>
    <row r="67" spans="1:22" x14ac:dyDescent="0.3">
      <c r="A67" s="1589"/>
      <c r="C67" s="441" t="str">
        <f>B21</f>
        <v>Risk of delay in land acquisition</v>
      </c>
      <c r="G67" s="1608">
        <f>Admin!J17</f>
        <v>4.9999999999999991</v>
      </c>
      <c r="I67" s="1614">
        <f>IF(C67="Not Applicable",0,IF(G67&lt;=$F$2,1,0))</f>
        <v>0</v>
      </c>
      <c r="P67" s="441">
        <f>IF(I67&gt;0,IF(AND(I67=1,SUM($I$55:I66)&gt;0),SUM($I$55:I66)+1,1),0)</f>
        <v>0</v>
      </c>
      <c r="Q67" s="441" t="str">
        <f t="shared" si="15"/>
        <v/>
      </c>
      <c r="S67" s="441" t="str">
        <f t="shared" ref="S67:S74" si="21">IF(P67&gt;0,CONCATENATE("*",Q67),"")</f>
        <v/>
      </c>
    </row>
    <row r="68" spans="1:22" x14ac:dyDescent="0.3">
      <c r="A68" s="1589"/>
      <c r="C68" s="441" t="str">
        <f t="shared" ref="C68:C74" si="22">B22</f>
        <v>Financing Risk</v>
      </c>
      <c r="G68" s="1608">
        <f>Admin!J18</f>
        <v>5</v>
      </c>
      <c r="I68" s="1614">
        <f t="shared" ref="I68:I74" si="23">IF(C68="Not Applicable",0,IF(G68&lt;=$F$2,1,0))</f>
        <v>0</v>
      </c>
      <c r="P68" s="441">
        <f>IF(I68&gt;0,IF(AND(I68=1,SUM($I$55:I67)&gt;0),SUM($I$55:I67)+1,1),0)</f>
        <v>0</v>
      </c>
      <c r="Q68" s="441" t="str">
        <f t="shared" si="15"/>
        <v/>
      </c>
      <c r="S68" s="441" t="str">
        <f t="shared" si="21"/>
        <v/>
      </c>
    </row>
    <row r="69" spans="1:22" x14ac:dyDescent="0.3">
      <c r="A69" s="1589"/>
      <c r="C69" s="441" t="str">
        <f t="shared" si="22"/>
        <v xml:space="preserve">Design and Construction Risk </v>
      </c>
      <c r="G69" s="1608">
        <f>Admin!J19</f>
        <v>4.9999999999999991</v>
      </c>
      <c r="I69" s="1614">
        <f t="shared" si="23"/>
        <v>0</v>
      </c>
      <c r="P69" s="441">
        <f>IF(I69&gt;0,IF(AND(I69=1,SUM($I$55:I68)&gt;0),SUM($I$55:I68)+1,1),0)</f>
        <v>0</v>
      </c>
      <c r="Q69" s="441" t="str">
        <f t="shared" si="15"/>
        <v/>
      </c>
      <c r="S69" s="441" t="str">
        <f t="shared" si="21"/>
        <v/>
      </c>
    </row>
    <row r="70" spans="1:22" x14ac:dyDescent="0.3">
      <c r="A70" s="1589"/>
      <c r="C70" s="441" t="str">
        <f t="shared" si="22"/>
        <v>Operations and Maintenance Risk</v>
      </c>
      <c r="G70" s="1608">
        <f>Admin!J20</f>
        <v>5</v>
      </c>
      <c r="I70" s="1614">
        <f t="shared" si="23"/>
        <v>0</v>
      </c>
      <c r="P70" s="441">
        <f>IF(I70&gt;0,IF(AND(I70=1,SUM($I$55:I69)&gt;0),SUM($I$55:I69)+1,1),0)</f>
        <v>0</v>
      </c>
      <c r="Q70" s="441" t="str">
        <f t="shared" si="15"/>
        <v/>
      </c>
      <c r="S70" s="441" t="str">
        <f t="shared" si="21"/>
        <v/>
      </c>
    </row>
    <row r="71" spans="1:22" x14ac:dyDescent="0.3">
      <c r="A71" s="1589"/>
      <c r="C71" s="441" t="str">
        <f t="shared" si="22"/>
        <v>Market Risk and Demand Risk</v>
      </c>
      <c r="G71" s="1608">
        <f>Admin!J21</f>
        <v>4.9999999999999991</v>
      </c>
      <c r="I71" s="1614">
        <f t="shared" si="23"/>
        <v>0</v>
      </c>
      <c r="P71" s="441">
        <f>IF(I71&gt;0,IF(AND(I71=1,SUM($I$55:I70)&gt;0),SUM($I$55:I70)+1,1),0)</f>
        <v>0</v>
      </c>
      <c r="Q71" s="441" t="str">
        <f t="shared" si="15"/>
        <v/>
      </c>
      <c r="S71" s="441" t="str">
        <f t="shared" si="21"/>
        <v/>
      </c>
    </row>
    <row r="72" spans="1:22" x14ac:dyDescent="0.3">
      <c r="A72" s="1589"/>
      <c r="C72" s="441" t="str">
        <f t="shared" si="22"/>
        <v>Off Taker Risk</v>
      </c>
      <c r="G72" s="1608">
        <f>Admin!J22</f>
        <v>5</v>
      </c>
      <c r="I72" s="1614">
        <f t="shared" si="23"/>
        <v>0</v>
      </c>
      <c r="P72" s="441">
        <f>IF(I72&gt;0,IF(AND(I72=1,SUM($I$55:I71)&gt;0),SUM($I$55:I71)+1,1),0)</f>
        <v>0</v>
      </c>
      <c r="Q72" s="441" t="str">
        <f t="shared" si="15"/>
        <v/>
      </c>
      <c r="S72" s="441" t="str">
        <f t="shared" si="21"/>
        <v/>
      </c>
    </row>
    <row r="73" spans="1:22" x14ac:dyDescent="0.3">
      <c r="A73" s="1589"/>
      <c r="C73" s="441" t="str">
        <f t="shared" si="22"/>
        <v>Foreign Exchange Risk</v>
      </c>
      <c r="G73" s="1608">
        <f>Admin!J23</f>
        <v>5</v>
      </c>
      <c r="I73" s="1614">
        <f t="shared" si="23"/>
        <v>0</v>
      </c>
      <c r="P73" s="441">
        <f>IF(I73&gt;0,IF(AND(I73=1,SUM($I$55:I72)&gt;0),SUM($I$55:I72)+1,1),0)</f>
        <v>0</v>
      </c>
      <c r="Q73" s="441" t="str">
        <f t="shared" si="15"/>
        <v/>
      </c>
      <c r="S73" s="441" t="str">
        <f t="shared" si="21"/>
        <v/>
      </c>
    </row>
    <row r="74" spans="1:22" x14ac:dyDescent="0.3">
      <c r="A74" s="1589"/>
      <c r="C74" s="441" t="str">
        <f t="shared" si="22"/>
        <v>Environmental and Social Risk</v>
      </c>
      <c r="G74" s="1608">
        <f>Admin!J24</f>
        <v>5</v>
      </c>
      <c r="I74" s="1614">
        <f t="shared" si="23"/>
        <v>0</v>
      </c>
      <c r="P74" s="441">
        <f>IF(I74&gt;0,IF(AND(I74=1,SUM($I$55:I73)&gt;0),SUM($I$55:I73)+1,1),0)</f>
        <v>0</v>
      </c>
      <c r="Q74" s="441" t="str">
        <f t="shared" si="15"/>
        <v/>
      </c>
      <c r="S74" s="441" t="str">
        <f t="shared" si="21"/>
        <v/>
      </c>
    </row>
    <row r="75" spans="1:22" x14ac:dyDescent="0.3">
      <c r="A75" s="1619">
        <v>4</v>
      </c>
      <c r="B75" s="1609" t="str">
        <f>B29</f>
        <v>PPP Suitability</v>
      </c>
      <c r="C75" s="1610"/>
      <c r="D75" s="1610"/>
      <c r="E75" s="1610"/>
      <c r="F75" s="1610"/>
      <c r="G75" s="1611"/>
      <c r="H75" s="1617">
        <f>E29</f>
        <v>5</v>
      </c>
      <c r="I75" s="1610"/>
      <c r="J75" s="1609">
        <f>IF(H75&lt;=$F$2,1,0)</f>
        <v>0</v>
      </c>
      <c r="K75" s="1610">
        <f ca="1">IF(AND(J75=1,SUM(J$54:$J74)&gt;0),SUM(J$54:$J74)+1,0)</f>
        <v>0</v>
      </c>
      <c r="L75" s="1610" t="str">
        <f>IF(OR(H75&lt;$F$2,V75&gt;0),B75,"")</f>
        <v/>
      </c>
      <c r="M75" s="1610"/>
      <c r="N75" s="1610" t="str">
        <f>IF(OR(J75&gt;0,V75&gt;0),CONCATENATE("* ",L75),"")</f>
        <v/>
      </c>
      <c r="P75" s="1610">
        <f>IF(I75&gt;0,IF(AND(I75=1,SUM($I$55:I74)&gt;0),SUM($I$55:I74)+1,1),0)</f>
        <v>0</v>
      </c>
      <c r="Q75" s="1610" t="str">
        <f t="shared" si="15"/>
        <v/>
      </c>
      <c r="R75" s="1610"/>
      <c r="S75" s="441" t="str">
        <f t="shared" si="17"/>
        <v/>
      </c>
      <c r="U75" s="1610" t="str">
        <f>CONCATENATE(S76,"   ",S77,".")</f>
        <v xml:space="preserve">   .</v>
      </c>
      <c r="V75" s="1610">
        <f>SUM(I76:I77)</f>
        <v>0</v>
      </c>
    </row>
    <row r="76" spans="1:22" x14ac:dyDescent="0.3">
      <c r="A76" s="1589"/>
      <c r="C76" s="441" t="str">
        <f>B32</f>
        <v>Value for Money</v>
      </c>
      <c r="G76" s="1608">
        <f>Admin!J26</f>
        <v>4.9999999999999991</v>
      </c>
      <c r="I76" s="1614">
        <f t="shared" ref="I76:I84" si="24">IF(C76="Not Applicable",0,IF(G76&lt;=$F$2,1,0))</f>
        <v>0</v>
      </c>
      <c r="P76" s="441">
        <f>IF(I76&gt;0,IF(AND(I76=1,SUM($I$55:I75)&gt;0),SUM($I$55:I75)+1,1),0)</f>
        <v>0</v>
      </c>
      <c r="Q76" s="441" t="str">
        <f t="shared" si="15"/>
        <v/>
      </c>
      <c r="S76" s="441" t="str">
        <f t="shared" ref="S76:S77" si="25">IF(P76&gt;0,CONCATENATE("*",Q76),"")</f>
        <v/>
      </c>
    </row>
    <row r="77" spans="1:22" x14ac:dyDescent="0.3">
      <c r="A77" s="1589"/>
      <c r="C77" s="441" t="str">
        <f>B33</f>
        <v>Market appetite</v>
      </c>
      <c r="G77" s="1608">
        <f>Admin!J27</f>
        <v>5</v>
      </c>
      <c r="I77" s="1614">
        <f t="shared" si="24"/>
        <v>0</v>
      </c>
      <c r="P77" s="441">
        <f>IF(I77&gt;0,IF(AND(I77=1,SUM($I$55:I76)&gt;0),SUM($I$55:I76)+1,1),0)</f>
        <v>0</v>
      </c>
      <c r="Q77" s="441" t="str">
        <f t="shared" si="15"/>
        <v/>
      </c>
      <c r="S77" s="441" t="str">
        <f t="shared" si="25"/>
        <v/>
      </c>
    </row>
    <row r="78" spans="1:22" x14ac:dyDescent="0.3">
      <c r="A78" s="1619">
        <v>5</v>
      </c>
      <c r="B78" s="1609" t="str">
        <f>B34</f>
        <v>Govt’s Fiscal Affordability</v>
      </c>
      <c r="C78" s="1609"/>
      <c r="D78" s="1609"/>
      <c r="E78" s="1609"/>
      <c r="F78" s="1609"/>
      <c r="G78" s="1609"/>
      <c r="H78" s="1617">
        <f>E34</f>
        <v>4.1959999999999997</v>
      </c>
      <c r="I78" s="1610"/>
      <c r="J78" s="1609">
        <f>IF(H78&lt;=$F$2,1,0)</f>
        <v>0</v>
      </c>
      <c r="K78" s="1610">
        <f ca="1">IF(AND(J78=1,SUM(J$54:$J77)&gt;0),SUM(J$54:$J77)+1,0)</f>
        <v>0</v>
      </c>
      <c r="L78" s="1610" t="str">
        <f>IF(OR(H78&lt;$F$2,V78&gt;0),B78,"")</f>
        <v/>
      </c>
      <c r="M78" s="1610"/>
      <c r="N78" s="1610" t="str">
        <f>IF(OR(J78&gt;0,V78&gt;0),CONCATENATE("* ",L78),"")</f>
        <v/>
      </c>
      <c r="P78" s="1610">
        <f>IF(I78&gt;0,IF(AND(I78=1,SUM($I$55:I77)&gt;0),SUM($I$55:I77)+1,1),0)</f>
        <v>0</v>
      </c>
      <c r="Q78" s="1610" t="str">
        <f t="shared" si="15"/>
        <v/>
      </c>
      <c r="R78" s="1610"/>
      <c r="S78" s="441" t="str">
        <f t="shared" si="17"/>
        <v/>
      </c>
      <c r="U78" s="1610" t="str">
        <f>CONCATENATE(S79,"   ",S80,".")</f>
        <v xml:space="preserve">   .</v>
      </c>
      <c r="V78" s="1610">
        <f>SUM(I79:I80)</f>
        <v>0</v>
      </c>
    </row>
    <row r="79" spans="1:22" x14ac:dyDescent="0.3">
      <c r="A79" s="1589"/>
      <c r="C79" s="441" t="str">
        <f>B36</f>
        <v>Extent and Nature of Government Fiscal Support</v>
      </c>
      <c r="G79" s="1608">
        <f>Admin!J29</f>
        <v>5</v>
      </c>
      <c r="I79" s="1614">
        <f t="shared" si="24"/>
        <v>0</v>
      </c>
      <c r="P79" s="441">
        <f>IF(I79&gt;0,IF(AND(I79=1,SUM($I$55:I78)&gt;0),SUM($I$55:I78)+1,1),0)</f>
        <v>0</v>
      </c>
      <c r="Q79" s="441" t="str">
        <f t="shared" si="15"/>
        <v/>
      </c>
      <c r="S79" s="441" t="str">
        <f t="shared" ref="S79:S80" si="26">IF(P79&gt;0,CONCATENATE("*",Q79),"")</f>
        <v/>
      </c>
    </row>
    <row r="80" spans="1:22" x14ac:dyDescent="0.3">
      <c r="A80" s="1589"/>
      <c r="C80" s="441" t="str">
        <f>B37</f>
        <v>Quantification of Fiscal Support</v>
      </c>
      <c r="G80" s="1608">
        <f>Admin!J30</f>
        <v>3.66</v>
      </c>
      <c r="I80" s="1614">
        <f t="shared" si="24"/>
        <v>0</v>
      </c>
      <c r="P80" s="441">
        <f>IF(I80&gt;0,IF(AND(I80=1,SUM($I$55:I79)&gt;0),SUM($I$55:I79)+1,1),0)</f>
        <v>0</v>
      </c>
      <c r="Q80" s="441" t="str">
        <f t="shared" si="15"/>
        <v/>
      </c>
      <c r="S80" s="441" t="str">
        <f t="shared" si="26"/>
        <v/>
      </c>
    </row>
    <row r="81" spans="1:22" x14ac:dyDescent="0.3">
      <c r="A81" s="1619">
        <v>6</v>
      </c>
      <c r="B81" s="1609" t="str">
        <f>B38</f>
        <v>Govt’s institutional Capability</v>
      </c>
      <c r="C81" s="1610"/>
      <c r="D81" s="1610"/>
      <c r="E81" s="1610"/>
      <c r="F81" s="1610"/>
      <c r="G81" s="1610"/>
      <c r="H81" s="1617">
        <f>E38</f>
        <v>5.0000000000000009</v>
      </c>
      <c r="I81" s="1610"/>
      <c r="J81" s="1609">
        <f>IF(H81&lt;=$F$2,1,0)</f>
        <v>0</v>
      </c>
      <c r="K81" s="1610">
        <f ca="1">IF(AND(J81=1,SUM(J$54:$J80)&gt;0),SUM(J$54:$J80)+1,0)</f>
        <v>0</v>
      </c>
      <c r="L81" s="1610" t="str">
        <f>IF(OR(H81&lt;$F$2,V81&gt;0),B81,"")</f>
        <v/>
      </c>
      <c r="M81" s="1610"/>
      <c r="N81" s="1610" t="str">
        <f>IF(OR(J81&gt;0,V81&gt;0),CONCATENATE("* ",L81),"")</f>
        <v/>
      </c>
      <c r="P81" s="1610">
        <f>IF(I81&gt;0,IF(AND(I81=1,SUM($I$55:I80)&gt;0),SUM($I$55:I80)+1,1),0)</f>
        <v>0</v>
      </c>
      <c r="Q81" s="1610" t="str">
        <f t="shared" si="15"/>
        <v/>
      </c>
      <c r="R81" s="1610"/>
      <c r="S81" s="441" t="str">
        <f t="shared" si="17"/>
        <v/>
      </c>
      <c r="U81" s="1610" t="str">
        <f>CONCATENATE(S82,"   ",S83,"   ",S84,".")</f>
        <v xml:space="preserve">      .</v>
      </c>
      <c r="V81" s="1610">
        <f>SUM(I82:I84)</f>
        <v>0</v>
      </c>
    </row>
    <row r="82" spans="1:22" x14ac:dyDescent="0.3">
      <c r="C82" s="441" t="str">
        <f>B40</f>
        <v>Institutional Capacity</v>
      </c>
      <c r="G82" s="1608">
        <f>Admin!J32</f>
        <v>5</v>
      </c>
      <c r="I82" s="1614">
        <f t="shared" si="24"/>
        <v>0</v>
      </c>
      <c r="P82" s="441">
        <f>IF(I82&gt;0,IF(AND(I82=1,SUM($I$55:I81)&gt;0),SUM($I$55:I81)+1,1),0)</f>
        <v>0</v>
      </c>
      <c r="Q82" s="441" t="str">
        <f t="shared" si="15"/>
        <v/>
      </c>
      <c r="S82" s="441" t="str">
        <f t="shared" ref="S82:S84" si="27">IF(P82&gt;0,CONCATENATE("*",Q82),"")</f>
        <v/>
      </c>
    </row>
    <row r="83" spans="1:22" x14ac:dyDescent="0.3">
      <c r="C83" s="441" t="str">
        <f t="shared" ref="C83:C84" si="28">B41</f>
        <v>Preparedness of the Contracting Agency for the Project</v>
      </c>
      <c r="G83" s="1608">
        <f>Admin!J33</f>
        <v>5</v>
      </c>
      <c r="I83" s="1614">
        <f t="shared" si="24"/>
        <v>0</v>
      </c>
      <c r="P83" s="441">
        <f>IF(I83&gt;0,IF(AND(I83=1,SUM($I$55:I82)&gt;0),SUM($I$55:I82)+1,1),0)</f>
        <v>0</v>
      </c>
      <c r="Q83" s="441" t="str">
        <f t="shared" si="15"/>
        <v/>
      </c>
      <c r="S83" s="441" t="str">
        <f t="shared" si="27"/>
        <v/>
      </c>
    </row>
    <row r="84" spans="1:22" x14ac:dyDescent="0.3">
      <c r="C84" s="441" t="str">
        <f t="shared" si="28"/>
        <v>Project Execution Capability of the Contracting Agency</v>
      </c>
      <c r="G84" s="1608">
        <f>Admin!J34</f>
        <v>5</v>
      </c>
      <c r="I84" s="1614">
        <f t="shared" si="24"/>
        <v>0</v>
      </c>
      <c r="P84" s="441">
        <f>IF(I84&gt;0,IF(AND(I84=1,SUM($I$55:I83)&gt;0),SUM($I$55:I83)+1,1),0)</f>
        <v>0</v>
      </c>
      <c r="Q84" s="441" t="str">
        <f t="shared" si="15"/>
        <v/>
      </c>
      <c r="S84" s="441" t="str">
        <f t="shared" si="27"/>
        <v/>
      </c>
    </row>
    <row r="85" spans="1:22" x14ac:dyDescent="0.3">
      <c r="A85" s="1609"/>
      <c r="B85" s="1609" t="s">
        <v>650</v>
      </c>
      <c r="C85" s="1609" t="s">
        <v>651</v>
      </c>
      <c r="D85" s="1609"/>
      <c r="E85" s="1609"/>
      <c r="F85" s="1609"/>
      <c r="G85" s="1609"/>
      <c r="H85" s="1609"/>
      <c r="I85" s="1609">
        <f ca="1">COUNTIF(I54:I84,1)</f>
        <v>0</v>
      </c>
      <c r="J85" s="1609">
        <f ca="1">COUNTIF(J54:J84,1)</f>
        <v>0</v>
      </c>
      <c r="K85" s="1610"/>
      <c r="L85" s="1610"/>
      <c r="M85" s="1610"/>
      <c r="N85" s="1610" t="str">
        <f>IF(K85&gt;0,CONCATENATE(K85,". ",L85),"")</f>
        <v/>
      </c>
      <c r="P85" s="1610"/>
      <c r="Q85" s="1610"/>
      <c r="R85" s="1610"/>
    </row>
    <row r="86" spans="1:22" ht="14.55" customHeight="1" x14ac:dyDescent="0.3">
      <c r="B86" s="1649" t="s">
        <v>661</v>
      </c>
      <c r="C86" s="1650" t="str">
        <f ca="1">CONCATENATE(S55,"  ",S56,"  ", S57,"  ",S58,"  ",S59,"  ",S60,"  ",S61,"  ",S62,"  ",S63,"  ",S64,"  ",S65,"  ",S66,"  ",S67,"  ",S68,"  ",S69,"  ",S70,"  ",S71,"  ",S72,"  ",S73,"  ",S74,"  ",S75,"  ",S76,"  ",S77,"  ",S78,"  ",S79,"  ",S80,"  ",S81,"  ",S82,"  ",S83,"  ",S84)</f>
        <v xml:space="preserve">                                                          </v>
      </c>
      <c r="D86" s="1650"/>
      <c r="E86" s="1650"/>
      <c r="F86" s="1650"/>
      <c r="G86" s="1650"/>
      <c r="H86" s="1650"/>
      <c r="I86" s="1650"/>
      <c r="J86" s="1390"/>
      <c r="K86" s="1390"/>
      <c r="L86" s="1390"/>
      <c r="M86" s="1390"/>
      <c r="N86" s="1390"/>
      <c r="O86" s="1390"/>
      <c r="P86" s="1390"/>
      <c r="Q86" s="1390"/>
      <c r="R86" s="1390"/>
    </row>
    <row r="87" spans="1:22" x14ac:dyDescent="0.3">
      <c r="B87" s="1649" t="s">
        <v>662</v>
      </c>
      <c r="C87" s="1650" t="str">
        <f ca="1">TRIM(C86)</f>
        <v/>
      </c>
      <c r="D87" s="1650"/>
      <c r="E87" s="1650"/>
      <c r="F87" s="1650"/>
      <c r="G87" s="1650"/>
      <c r="H87" s="1650"/>
      <c r="I87" s="1650"/>
      <c r="J87" s="1390"/>
      <c r="K87" s="1390"/>
      <c r="L87" s="1390"/>
      <c r="M87" s="1390"/>
      <c r="N87" s="1390"/>
      <c r="O87" s="1390"/>
      <c r="P87" s="1390"/>
      <c r="Q87" s="1390"/>
      <c r="R87" s="1390"/>
    </row>
    <row r="88" spans="1:22" x14ac:dyDescent="0.3">
      <c r="B88" s="1652" t="s">
        <v>663</v>
      </c>
      <c r="C88" s="1653" t="str">
        <f ca="1">CONCATENATE(N54,"   ",N59,"   ",N66,"   ",N75,"   ",N78,"   ",N81)</f>
        <v xml:space="preserve">               </v>
      </c>
      <c r="D88" s="1653"/>
      <c r="E88" s="1653"/>
      <c r="F88" s="1653"/>
      <c r="G88" s="1653"/>
      <c r="H88" s="1653"/>
      <c r="I88" s="1653"/>
      <c r="J88" s="1651"/>
      <c r="K88" s="1651"/>
      <c r="L88" s="1651"/>
      <c r="M88" s="1651"/>
      <c r="N88" s="1651"/>
      <c r="O88" s="1651"/>
      <c r="P88" s="1651"/>
      <c r="Q88" s="1651"/>
      <c r="R88" s="1651"/>
    </row>
    <row r="89" spans="1:22" x14ac:dyDescent="0.3">
      <c r="B89" s="1652" t="s">
        <v>664</v>
      </c>
      <c r="C89" s="1653" t="str">
        <f ca="1">TRIM(C88)</f>
        <v/>
      </c>
      <c r="D89" s="1651"/>
      <c r="E89" s="1651"/>
      <c r="F89" s="1651"/>
      <c r="G89" s="1651"/>
      <c r="H89" s="1651"/>
      <c r="I89" s="1651"/>
      <c r="J89" s="1651"/>
      <c r="K89" s="1651"/>
      <c r="L89" s="1651"/>
      <c r="M89" s="1651"/>
      <c r="N89" s="1651"/>
      <c r="O89" s="1651"/>
      <c r="P89" s="1651"/>
      <c r="Q89" s="1651"/>
      <c r="R89" s="1651"/>
    </row>
    <row r="91" spans="1:22" hidden="1" x14ac:dyDescent="0.3"/>
    <row r="92" spans="1:22" hidden="1" x14ac:dyDescent="0.3"/>
    <row r="93" spans="1:22" hidden="1" x14ac:dyDescent="0.3"/>
    <row r="94" spans="1:22" hidden="1" x14ac:dyDescent="0.3"/>
    <row r="95" spans="1:22" hidden="1" x14ac:dyDescent="0.3"/>
    <row r="96" spans="1:22" hidden="1" x14ac:dyDescent="0.3"/>
    <row r="97" spans="2:11" hidden="1" x14ac:dyDescent="0.3"/>
    <row r="98" spans="2:11" hidden="1" x14ac:dyDescent="0.3"/>
    <row r="99" spans="2:11" hidden="1" x14ac:dyDescent="0.3"/>
    <row r="100" spans="2:11" x14ac:dyDescent="0.3">
      <c r="B100" s="1604" t="s">
        <v>675</v>
      </c>
      <c r="C100" s="1603"/>
      <c r="D100" s="1603"/>
      <c r="E100" s="1603"/>
      <c r="F100" s="1603"/>
      <c r="G100" s="1603"/>
      <c r="H100" s="1603"/>
      <c r="I100" s="1603"/>
      <c r="J100" s="1603"/>
      <c r="K100" s="1603"/>
    </row>
    <row r="101" spans="2:11" x14ac:dyDescent="0.3">
      <c r="B101" s="1786"/>
      <c r="C101" s="1786"/>
      <c r="D101" s="1786"/>
      <c r="E101" s="1786"/>
      <c r="F101" s="1792" t="s">
        <v>679</v>
      </c>
      <c r="G101" s="1792" t="s">
        <v>680</v>
      </c>
      <c r="H101" s="1786"/>
      <c r="I101" s="1606" t="s">
        <v>684</v>
      </c>
      <c r="J101" s="1606" t="s">
        <v>685</v>
      </c>
      <c r="K101" s="1786"/>
    </row>
    <row r="102" spans="2:11" x14ac:dyDescent="0.3">
      <c r="B102" s="1794" t="s">
        <v>676</v>
      </c>
      <c r="C102" s="1790"/>
      <c r="D102" s="1790"/>
      <c r="E102" s="1790"/>
      <c r="F102" s="1793">
        <f>IF('Data Analysis'!G186="Fail",1,0)</f>
        <v>0</v>
      </c>
      <c r="G102" s="1832" t="str">
        <f>IF(F102&gt;0,"Do Not Proceed! Check Prerequisite Conditions.","")</f>
        <v/>
      </c>
      <c r="H102" s="1831"/>
      <c r="I102" s="1790" t="s">
        <v>682</v>
      </c>
      <c r="J102" s="1795" t="s">
        <v>686</v>
      </c>
      <c r="K102" s="1790"/>
    </row>
    <row r="103" spans="2:11" x14ac:dyDescent="0.3">
      <c r="B103" s="1796" t="s">
        <v>677</v>
      </c>
      <c r="C103" s="1796"/>
      <c r="D103" s="1796"/>
      <c r="E103" s="1796"/>
      <c r="F103" s="1797">
        <f>SUM(F104:F110)</f>
        <v>0</v>
      </c>
      <c r="G103" s="1828" t="str">
        <f>CONCATENATE("Warning! Project Input",IF(F103&gt;1,"s are"," is")," below Threshold Values:")</f>
        <v>Warning! Project Input is below Threshold Values:</v>
      </c>
      <c r="H103" s="1829"/>
      <c r="I103" s="1788"/>
      <c r="J103" s="1788"/>
      <c r="K103" s="1788"/>
    </row>
    <row r="104" spans="2:11" x14ac:dyDescent="0.3">
      <c r="B104" s="1788" t="s">
        <v>678</v>
      </c>
      <c r="C104" s="1788"/>
      <c r="D104" s="1788"/>
      <c r="E104" s="1788"/>
      <c r="F104" s="1791">
        <f>IF('0.Basic Project Data'!H38&lt;'0.Basic Project Data'!H39,1,0)</f>
        <v>0</v>
      </c>
      <c r="G104" s="1789" t="str">
        <f>IF(F104=1,CONCATENATE(" *",B104),"")</f>
        <v/>
      </c>
      <c r="H104" s="1788"/>
      <c r="I104" s="1788"/>
      <c r="J104" s="1788"/>
      <c r="K104" s="1788"/>
    </row>
    <row r="105" spans="2:11" x14ac:dyDescent="0.3">
      <c r="B105" s="1788" t="s">
        <v>184</v>
      </c>
      <c r="C105" s="1788"/>
      <c r="D105" s="1788"/>
      <c r="E105" s="1788"/>
      <c r="F105" s="1791">
        <f>IF('0.Basic Project Data'!H41&lt;'0.Basic Project Data'!H43,1,0)</f>
        <v>0</v>
      </c>
      <c r="G105" s="1789" t="str">
        <f>IF(F105=1,CONCATENATE(" *",B105),"")</f>
        <v/>
      </c>
      <c r="H105" s="1788"/>
      <c r="I105" s="1788"/>
      <c r="J105" s="1788"/>
      <c r="K105" s="1788"/>
    </row>
    <row r="106" spans="2:11" x14ac:dyDescent="0.3">
      <c r="B106" s="1788" t="s">
        <v>192</v>
      </c>
      <c r="C106" s="1788"/>
      <c r="D106" s="1788"/>
      <c r="E106" s="1788"/>
      <c r="F106" s="1791">
        <f>IF('0.Basic Project Data'!H44&lt;'0.Basic Project Data'!H46,1,0)</f>
        <v>0</v>
      </c>
      <c r="G106" s="1789" t="str">
        <f>IF(F106=1,CONCATENATE(" *",B106),"")</f>
        <v/>
      </c>
      <c r="H106" s="1788"/>
      <c r="I106" s="1788"/>
      <c r="J106" s="1788"/>
      <c r="K106" s="1788"/>
    </row>
    <row r="107" spans="2:11" x14ac:dyDescent="0.3">
      <c r="B107" s="1788" t="s">
        <v>687</v>
      </c>
      <c r="C107" s="1788"/>
      <c r="D107" s="1788"/>
      <c r="E107" s="1788"/>
      <c r="F107" s="1791">
        <f>IF('0.Basic Project Data'!H47&lt;'0.Basic Project Data'!H48,1,0)</f>
        <v>0</v>
      </c>
      <c r="G107" s="1789" t="str">
        <f>IF(F107=1,CONCATENATE(" *",B107),"")</f>
        <v/>
      </c>
      <c r="H107" s="1788"/>
      <c r="I107" s="1788"/>
      <c r="J107" s="1788"/>
      <c r="K107" s="1788"/>
    </row>
    <row r="108" spans="2:11" hidden="1" x14ac:dyDescent="0.3">
      <c r="B108" s="1788"/>
      <c r="C108" s="1788"/>
      <c r="D108" s="1788"/>
      <c r="E108" s="1788"/>
      <c r="F108" s="1791"/>
      <c r="G108" s="1789"/>
      <c r="H108" s="1788"/>
      <c r="I108" s="1788"/>
      <c r="J108" s="1788"/>
      <c r="K108" s="1788"/>
    </row>
    <row r="109" spans="2:11" hidden="1" x14ac:dyDescent="0.3">
      <c r="B109" s="1788"/>
      <c r="C109" s="1788"/>
      <c r="D109" s="1788"/>
      <c r="E109" s="1788"/>
      <c r="F109" s="1791"/>
      <c r="G109" s="1789"/>
      <c r="H109" s="1788"/>
      <c r="I109" s="1788"/>
      <c r="J109" s="1788"/>
      <c r="K109" s="1788"/>
    </row>
    <row r="110" spans="2:11" hidden="1" x14ac:dyDescent="0.3">
      <c r="B110" s="1788"/>
      <c r="C110" s="1788"/>
      <c r="D110" s="1788"/>
      <c r="E110" s="1788"/>
      <c r="F110" s="1791"/>
      <c r="G110" s="1789"/>
      <c r="H110" s="1788"/>
      <c r="I110" s="1788"/>
      <c r="J110" s="1788"/>
      <c r="K110" s="1788"/>
    </row>
    <row r="111" spans="2:11" x14ac:dyDescent="0.3">
      <c r="B111" s="1794" t="s">
        <v>681</v>
      </c>
      <c r="C111" s="1790"/>
      <c r="D111" s="1790"/>
      <c r="E111" s="1790"/>
      <c r="F111" s="1793"/>
      <c r="G111" s="1830" t="str">
        <f>IF(F103&gt;0,CONCATENATE(G103,"
",G104,G105,G106,G107),"")</f>
        <v/>
      </c>
      <c r="H111" s="1831"/>
      <c r="I111" s="1790" t="s">
        <v>682</v>
      </c>
      <c r="J111" s="1795" t="s">
        <v>683</v>
      </c>
      <c r="K111" s="1790"/>
    </row>
    <row r="112" spans="2:11" x14ac:dyDescent="0.3">
      <c r="B112" s="451"/>
      <c r="H112" s="1787"/>
      <c r="I112" s="1787"/>
      <c r="J112" s="1787"/>
      <c r="K112" s="1787"/>
    </row>
    <row r="113" spans="1:26" x14ac:dyDescent="0.3">
      <c r="B113" s="1787"/>
      <c r="C113" s="1787"/>
      <c r="D113" s="1787"/>
      <c r="E113" s="1787"/>
      <c r="F113" s="1787"/>
      <c r="G113" s="1787"/>
      <c r="H113" s="1787"/>
      <c r="I113" s="1787"/>
      <c r="J113" s="1787"/>
      <c r="K113" s="1787"/>
    </row>
    <row r="114" spans="1:26" x14ac:dyDescent="0.3">
      <c r="B114" s="1787"/>
      <c r="C114" s="1787"/>
      <c r="D114" s="1787"/>
      <c r="E114" s="1787"/>
      <c r="F114" s="1787"/>
      <c r="G114" s="1787"/>
      <c r="H114" s="1787"/>
      <c r="I114" s="1787"/>
      <c r="J114" s="1787"/>
      <c r="K114" s="1787"/>
    </row>
    <row r="115" spans="1:26" x14ac:dyDescent="0.3">
      <c r="B115" s="1787"/>
      <c r="C115" s="1787"/>
      <c r="D115" s="1787"/>
      <c r="E115" s="1787"/>
      <c r="F115" s="1787"/>
      <c r="G115" s="1787"/>
      <c r="H115" s="1787"/>
      <c r="I115" s="1787"/>
      <c r="J115" s="1787"/>
      <c r="K115" s="1787"/>
    </row>
    <row r="116" spans="1:26" x14ac:dyDescent="0.3">
      <c r="B116" s="1787"/>
      <c r="C116" s="1787"/>
      <c r="D116" s="1787"/>
      <c r="E116" s="1787"/>
      <c r="F116" s="1787"/>
      <c r="G116" s="1787"/>
      <c r="H116" s="1787"/>
      <c r="I116" s="1787"/>
      <c r="J116" s="1787"/>
      <c r="K116" s="1787"/>
    </row>
    <row r="117" spans="1:26" x14ac:dyDescent="0.3">
      <c r="B117" s="1787"/>
      <c r="C117" s="1787"/>
      <c r="D117" s="1787"/>
      <c r="E117" s="1787"/>
      <c r="F117" s="1787"/>
      <c r="G117" s="1787"/>
      <c r="H117" s="1787"/>
      <c r="I117" s="1787"/>
      <c r="J117" s="1787"/>
      <c r="K117" s="1787"/>
    </row>
    <row r="118" spans="1:26" x14ac:dyDescent="0.3">
      <c r="B118" s="1787"/>
      <c r="C118" s="1787"/>
      <c r="D118" s="1787"/>
      <c r="E118" s="1787"/>
      <c r="F118" s="1787"/>
      <c r="G118" s="1787"/>
      <c r="H118" s="1787"/>
      <c r="I118" s="1787"/>
      <c r="J118" s="1787"/>
      <c r="K118" s="1787"/>
    </row>
    <row r="119" spans="1:26" x14ac:dyDescent="0.3">
      <c r="B119" s="1787"/>
      <c r="C119" s="1787"/>
      <c r="D119" s="1787"/>
      <c r="E119" s="1787"/>
      <c r="F119" s="1787"/>
      <c r="G119" s="1787"/>
      <c r="H119" s="1787"/>
      <c r="I119" s="1787"/>
      <c r="J119" s="1787"/>
      <c r="K119" s="1787"/>
    </row>
    <row r="120" spans="1:26" x14ac:dyDescent="0.3">
      <c r="A120" s="1836"/>
      <c r="B120" s="1836"/>
      <c r="C120" s="1836"/>
      <c r="D120" s="1836"/>
      <c r="E120" s="1836"/>
      <c r="F120" s="1836"/>
      <c r="G120" s="1836"/>
      <c r="H120" s="1836"/>
      <c r="I120" s="1836"/>
      <c r="J120" s="1836"/>
      <c r="K120" s="1836"/>
      <c r="L120" s="1836"/>
      <c r="M120" s="1836"/>
      <c r="N120" s="1836"/>
      <c r="O120" s="1836"/>
      <c r="P120" s="1836"/>
      <c r="Q120" s="1836"/>
      <c r="R120" s="1836"/>
      <c r="S120" s="1836"/>
      <c r="T120" s="1836"/>
      <c r="U120" s="1836"/>
      <c r="V120" s="1836"/>
      <c r="W120" s="1836"/>
      <c r="X120" s="1836"/>
      <c r="Y120" s="1836"/>
      <c r="Z120" s="1836"/>
    </row>
    <row r="121" spans="1:26" x14ac:dyDescent="0.3">
      <c r="A121" s="1866" t="s">
        <v>31</v>
      </c>
      <c r="B121" s="1866" t="s">
        <v>0</v>
      </c>
      <c r="C121" s="1866"/>
      <c r="D121" s="1866"/>
      <c r="E121" s="1866" t="s">
        <v>762</v>
      </c>
      <c r="F121" s="1866" t="s">
        <v>763</v>
      </c>
      <c r="G121" s="1867" t="s">
        <v>50</v>
      </c>
      <c r="H121" s="1867" t="s">
        <v>195</v>
      </c>
      <c r="I121" s="1866" t="s">
        <v>719</v>
      </c>
      <c r="J121" s="1866" t="s">
        <v>718</v>
      </c>
      <c r="K121" s="1868"/>
    </row>
    <row r="122" spans="1:26" ht="15.6" x14ac:dyDescent="0.3">
      <c r="A122" s="1873"/>
      <c r="B122" s="1873"/>
      <c r="C122" s="1873"/>
      <c r="D122" s="1873"/>
      <c r="E122" s="1873"/>
      <c r="F122" s="1873"/>
      <c r="G122" s="1874"/>
      <c r="H122" s="1874"/>
      <c r="I122" s="1873"/>
      <c r="J122" s="1873"/>
      <c r="K122" s="1875"/>
      <c r="N122" s="739" t="s">
        <v>692</v>
      </c>
      <c r="O122" s="1837"/>
      <c r="P122" s="1837"/>
      <c r="Q122" s="1857" t="str">
        <f>Q3</f>
        <v>Very Strong</v>
      </c>
      <c r="R122" s="1857" t="str">
        <f t="shared" ref="R122:Z122" si="29">R3</f>
        <v>Strong</v>
      </c>
      <c r="S122" s="1857" t="str">
        <f t="shared" si="29"/>
        <v>Moderately Strong</v>
      </c>
      <c r="T122" s="1857" t="str">
        <f t="shared" si="29"/>
        <v>Adequate</v>
      </c>
      <c r="U122" s="1857" t="str">
        <f t="shared" si="29"/>
        <v>Moderately Adequate</v>
      </c>
      <c r="V122" s="1857" t="str">
        <f t="shared" si="29"/>
        <v>Moderately Weak</v>
      </c>
      <c r="W122" s="1857" t="str">
        <f t="shared" si="29"/>
        <v>Weak</v>
      </c>
      <c r="X122" s="1857" t="str">
        <f t="shared" si="29"/>
        <v>Very Weak</v>
      </c>
      <c r="Y122" s="1857" t="str">
        <f t="shared" si="29"/>
        <v>DEFICIENT</v>
      </c>
      <c r="Z122" s="1857" t="str">
        <f t="shared" si="29"/>
        <v>Materially Deficient</v>
      </c>
    </row>
    <row r="123" spans="1:26" s="844" customFormat="1" ht="72" x14ac:dyDescent="0.3">
      <c r="A123" s="1877">
        <v>1</v>
      </c>
      <c r="B123" s="1876" t="str">
        <f>B4</f>
        <v>Strategic Suitability</v>
      </c>
      <c r="C123" s="1877"/>
      <c r="D123" s="1877"/>
      <c r="E123" s="1877">
        <f>N125+N126</f>
        <v>0</v>
      </c>
      <c r="F123" s="1877">
        <f>N128</f>
        <v>0</v>
      </c>
      <c r="G123" s="1871">
        <f>'Data Analysis'!E295</f>
        <v>5</v>
      </c>
      <c r="H123" s="1871" t="str">
        <f>'Data Analysis'!F295</f>
        <v>Very Strong</v>
      </c>
      <c r="I123" s="1872" t="s">
        <v>259</v>
      </c>
      <c r="J123" s="1872" t="str">
        <f>HLOOKUP($H123,$Q122:$Z130,2,0)</f>
        <v>The project has a strong strategic fit on an overall basis. However,   Please prepare a clear strategy to address it(them).</v>
      </c>
      <c r="K123" s="1877"/>
      <c r="N123" s="1861" t="str">
        <f>'Data Analysis'!F295</f>
        <v>Very Strong</v>
      </c>
      <c r="O123" s="1862"/>
      <c r="P123" s="1862" t="s">
        <v>698</v>
      </c>
      <c r="Q123" s="1863" t="str">
        <f t="shared" ref="Q123:Z123" si="30">IF($N123=Q$122,CONCATENATE(Q124,Q127,Q128,Q129),"")</f>
        <v>The project has a strong strategic fit on an overall basis. However,   Please prepare a clear strategy to address it(them).</v>
      </c>
      <c r="R123" s="1863" t="str">
        <f t="shared" si="30"/>
        <v/>
      </c>
      <c r="S123" s="1863" t="str">
        <f t="shared" si="30"/>
        <v/>
      </c>
      <c r="T123" s="1863" t="str">
        <f t="shared" si="30"/>
        <v/>
      </c>
      <c r="U123" s="1863" t="str">
        <f t="shared" si="30"/>
        <v/>
      </c>
      <c r="V123" s="1863" t="str">
        <f t="shared" si="30"/>
        <v/>
      </c>
      <c r="W123" s="1863" t="str">
        <f t="shared" si="30"/>
        <v/>
      </c>
      <c r="X123" s="1864" t="str">
        <f t="shared" si="30"/>
        <v/>
      </c>
      <c r="Y123" s="1863" t="str">
        <f t="shared" si="30"/>
        <v/>
      </c>
      <c r="Z123" s="1863" t="str">
        <f t="shared" si="30"/>
        <v/>
      </c>
    </row>
    <row r="124" spans="1:26" s="844" customFormat="1" ht="43.2" x14ac:dyDescent="0.3">
      <c r="A124" s="1872"/>
      <c r="B124" s="1872"/>
      <c r="C124" s="1872"/>
      <c r="D124" s="1872"/>
      <c r="E124" s="1872"/>
      <c r="F124" s="1872"/>
      <c r="G124" s="1872"/>
      <c r="H124" s="1872"/>
      <c r="I124" s="1872" t="s">
        <v>260</v>
      </c>
      <c r="J124" s="1872" t="str">
        <f>HLOOKUP($H123,$Q122:$Z131,9,0)</f>
        <v xml:space="preserve">         .</v>
      </c>
      <c r="K124" s="1872"/>
      <c r="N124" s="1861" t="s">
        <v>247</v>
      </c>
      <c r="O124" s="1862"/>
      <c r="P124" s="1862" t="s">
        <v>696</v>
      </c>
      <c r="Q124" s="1859" t="s">
        <v>701</v>
      </c>
      <c r="R124" s="1859" t="s">
        <v>701</v>
      </c>
      <c r="S124" s="1859" t="s">
        <v>704</v>
      </c>
      <c r="T124" s="1859" t="s">
        <v>705</v>
      </c>
      <c r="U124" s="1859" t="s">
        <v>706</v>
      </c>
      <c r="V124" s="1859" t="s">
        <v>714</v>
      </c>
      <c r="W124" s="1859" t="s">
        <v>714</v>
      </c>
      <c r="X124" s="1859" t="s">
        <v>717</v>
      </c>
      <c r="Y124" s="1859" t="s">
        <v>713</v>
      </c>
      <c r="Z124" s="1860" t="s">
        <v>712</v>
      </c>
    </row>
    <row r="125" spans="1:26" s="844" customFormat="1" ht="21.6" x14ac:dyDescent="0.3">
      <c r="A125" s="1872"/>
      <c r="B125" s="1872"/>
      <c r="C125" s="1872"/>
      <c r="D125" s="1872"/>
      <c r="E125" s="1872"/>
      <c r="F125" s="1872"/>
      <c r="G125" s="1877"/>
      <c r="H125" s="1877"/>
      <c r="I125" s="1877"/>
      <c r="J125" s="1877"/>
      <c r="K125" s="1872"/>
      <c r="N125" s="1862">
        <f>'Data Analysis'!O267</f>
        <v>0</v>
      </c>
      <c r="O125" s="1862"/>
      <c r="P125" s="1862" t="s">
        <v>699</v>
      </c>
      <c r="Q125" s="1865" t="s">
        <v>708</v>
      </c>
      <c r="R125" s="1865" t="s">
        <v>708</v>
      </c>
      <c r="S125" s="1865" t="s">
        <v>708</v>
      </c>
      <c r="T125" s="1865" t="s">
        <v>708</v>
      </c>
      <c r="U125" s="1865" t="s">
        <v>708</v>
      </c>
      <c r="V125" s="1865" t="s">
        <v>708</v>
      </c>
      <c r="W125" s="1865" t="s">
        <v>708</v>
      </c>
      <c r="X125" s="1865" t="s">
        <v>708</v>
      </c>
      <c r="Y125" s="1865" t="s">
        <v>708</v>
      </c>
      <c r="Z125" s="1865" t="s">
        <v>708</v>
      </c>
    </row>
    <row r="126" spans="1:26" s="844" customFormat="1" ht="43.2" x14ac:dyDescent="0.3">
      <c r="A126" s="1872"/>
      <c r="B126" s="1872"/>
      <c r="C126" s="1872"/>
      <c r="D126" s="1872"/>
      <c r="E126" s="1872"/>
      <c r="F126" s="1872"/>
      <c r="G126" s="1872"/>
      <c r="H126" s="1872"/>
      <c r="I126" s="1872"/>
      <c r="J126" s="1872"/>
      <c r="K126" s="1872"/>
      <c r="N126" s="1862">
        <f>('Data Analysis'!O268+'Data Analysis'!O269)</f>
        <v>0</v>
      </c>
      <c r="O126" s="1862"/>
      <c r="P126" s="1862" t="s">
        <v>700</v>
      </c>
      <c r="Q126" s="1865" t="s">
        <v>707</v>
      </c>
      <c r="R126" s="1865" t="s">
        <v>707</v>
      </c>
      <c r="S126" s="1865" t="s">
        <v>707</v>
      </c>
      <c r="T126" s="1865" t="s">
        <v>707</v>
      </c>
      <c r="U126" s="1865" t="s">
        <v>707</v>
      </c>
      <c r="V126" s="1865" t="s">
        <v>707</v>
      </c>
      <c r="W126" s="1865" t="s">
        <v>707</v>
      </c>
      <c r="X126" s="1865" t="s">
        <v>707</v>
      </c>
      <c r="Y126" s="1865" t="s">
        <v>707</v>
      </c>
      <c r="Z126" s="1865" t="s">
        <v>707</v>
      </c>
    </row>
    <row r="127" spans="1:26" s="844" customFormat="1" x14ac:dyDescent="0.3">
      <c r="A127" s="1872"/>
      <c r="B127" s="1872"/>
      <c r="C127" s="1872"/>
      <c r="D127" s="1872"/>
      <c r="E127" s="1872"/>
      <c r="F127" s="1872"/>
      <c r="G127" s="1872"/>
      <c r="H127" s="1872"/>
      <c r="I127" s="1872"/>
      <c r="J127" s="1872"/>
      <c r="K127" s="1872"/>
      <c r="N127" s="1862"/>
      <c r="O127" s="1862"/>
      <c r="P127" s="1862" t="s">
        <v>697</v>
      </c>
      <c r="Q127" s="1865" t="str">
        <f>IF($N123=Q$122,IF(OR($N125&gt;0,$N126&gt;0),CONCATENATE(" potential Deal Breaker Conditions have been ",IF($N125&gt;0,"triggered"," skipped or marked uncertain"),IF($N128&lt;=0,"."," and ")),"  "),"  ")</f>
        <v xml:space="preserve">  </v>
      </c>
      <c r="R127" s="1865" t="str">
        <f t="shared" ref="R127:Z127" si="31">IF($N123=R$122,IF(OR($N125&gt;0,$N126&gt;0),CONCATENATE(" potential Deal Breaker Conditions have been ",IF($N125&gt;0,"triggered"," skipped or marked uncertain"),IF($N128&lt;=0,"."," and ")),"  "),"  ")</f>
        <v xml:space="preserve">  </v>
      </c>
      <c r="S127" s="1865" t="str">
        <f t="shared" si="31"/>
        <v xml:space="preserve">  </v>
      </c>
      <c r="T127" s="1865" t="str">
        <f t="shared" si="31"/>
        <v xml:space="preserve">  </v>
      </c>
      <c r="U127" s="1865" t="str">
        <f t="shared" si="31"/>
        <v xml:space="preserve">  </v>
      </c>
      <c r="V127" s="1865" t="str">
        <f t="shared" si="31"/>
        <v xml:space="preserve">  </v>
      </c>
      <c r="W127" s="1865" t="str">
        <f t="shared" si="31"/>
        <v xml:space="preserve">  </v>
      </c>
      <c r="X127" s="1865" t="str">
        <f t="shared" si="31"/>
        <v xml:space="preserve">  </v>
      </c>
      <c r="Y127" s="1865" t="str">
        <f t="shared" si="31"/>
        <v xml:space="preserve">  </v>
      </c>
      <c r="Z127" s="1865" t="str">
        <f t="shared" si="31"/>
        <v xml:space="preserve">  </v>
      </c>
    </row>
    <row r="128" spans="1:26" s="844" customFormat="1" x14ac:dyDescent="0.3">
      <c r="A128" s="1872"/>
      <c r="B128" s="1872"/>
      <c r="C128" s="1872"/>
      <c r="D128" s="1872"/>
      <c r="E128" s="1872"/>
      <c r="F128" s="1872"/>
      <c r="G128" s="1872"/>
      <c r="H128" s="1872"/>
      <c r="I128" s="1872"/>
      <c r="J128" s="1872"/>
      <c r="K128" s="1872"/>
      <c r="N128" s="1862">
        <f>Comments!V54</f>
        <v>0</v>
      </c>
      <c r="O128" s="1862"/>
      <c r="P128" s="1862" t="s">
        <v>702</v>
      </c>
      <c r="Q128" s="1865" t="str">
        <f t="shared" ref="Q128:Z128" si="32">IF($N128&gt;0,"significant weakness(es) have been identified. ","")</f>
        <v/>
      </c>
      <c r="R128" s="1865" t="str">
        <f t="shared" si="32"/>
        <v/>
      </c>
      <c r="S128" s="1865" t="str">
        <f t="shared" si="32"/>
        <v/>
      </c>
      <c r="T128" s="1865" t="str">
        <f t="shared" si="32"/>
        <v/>
      </c>
      <c r="U128" s="1865" t="str">
        <f t="shared" si="32"/>
        <v/>
      </c>
      <c r="V128" s="1865" t="str">
        <f t="shared" si="32"/>
        <v/>
      </c>
      <c r="W128" s="1865" t="str">
        <f t="shared" si="32"/>
        <v/>
      </c>
      <c r="X128" s="1865" t="str">
        <f t="shared" si="32"/>
        <v/>
      </c>
      <c r="Y128" s="1865" t="str">
        <f t="shared" si="32"/>
        <v/>
      </c>
      <c r="Z128" s="1865" t="str">
        <f t="shared" si="32"/>
        <v/>
      </c>
    </row>
    <row r="129" spans="1:26" s="844" customFormat="1" ht="52.2" x14ac:dyDescent="0.3">
      <c r="A129" s="1872"/>
      <c r="B129" s="1872"/>
      <c r="C129" s="1872"/>
      <c r="D129" s="1872"/>
      <c r="E129" s="1872"/>
      <c r="F129" s="1872"/>
      <c r="G129" s="1872"/>
      <c r="H129" s="1872"/>
      <c r="I129" s="1872"/>
      <c r="J129" s="1872"/>
      <c r="K129" s="1872"/>
      <c r="N129" s="1862"/>
      <c r="O129" s="1862"/>
      <c r="P129" s="1862" t="s">
        <v>715</v>
      </c>
      <c r="Q129" s="1865" t="s">
        <v>703</v>
      </c>
      <c r="R129" s="1865" t="s">
        <v>703</v>
      </c>
      <c r="S129" s="1865" t="s">
        <v>703</v>
      </c>
      <c r="T129" s="1865" t="s">
        <v>703</v>
      </c>
      <c r="U129" s="1865" t="s">
        <v>703</v>
      </c>
      <c r="V129" s="1865" t="s">
        <v>709</v>
      </c>
      <c r="W129" s="1865" t="s">
        <v>709</v>
      </c>
      <c r="X129" s="1865" t="s">
        <v>710</v>
      </c>
      <c r="Y129" s="1865" t="s">
        <v>710</v>
      </c>
      <c r="Z129" s="1865" t="s">
        <v>711</v>
      </c>
    </row>
    <row r="130" spans="1:26" s="844" customFormat="1" x14ac:dyDescent="0.3">
      <c r="A130" s="1872"/>
      <c r="B130" s="1872"/>
      <c r="C130" s="1872"/>
      <c r="D130" s="1872"/>
      <c r="E130" s="1872"/>
      <c r="F130" s="1872"/>
      <c r="G130" s="1872"/>
      <c r="H130" s="1872"/>
      <c r="I130" s="1872"/>
      <c r="J130" s="1872"/>
      <c r="K130" s="1872"/>
      <c r="N130" s="1862"/>
      <c r="O130" s="1862"/>
      <c r="P130" s="1862" t="s">
        <v>260</v>
      </c>
      <c r="Q130" s="1865" t="str">
        <f>Comments!U54</f>
        <v xml:space="preserve">         .</v>
      </c>
      <c r="R130" s="1865" t="str">
        <f t="shared" ref="R130:Z130" si="33">Q130</f>
        <v xml:space="preserve">         .</v>
      </c>
      <c r="S130" s="1865" t="str">
        <f t="shared" si="33"/>
        <v xml:space="preserve">         .</v>
      </c>
      <c r="T130" s="1865" t="str">
        <f t="shared" si="33"/>
        <v xml:space="preserve">         .</v>
      </c>
      <c r="U130" s="1865" t="str">
        <f t="shared" si="33"/>
        <v xml:space="preserve">         .</v>
      </c>
      <c r="V130" s="1865" t="str">
        <f t="shared" si="33"/>
        <v xml:space="preserve">         .</v>
      </c>
      <c r="W130" s="1865" t="str">
        <f t="shared" si="33"/>
        <v xml:space="preserve">         .</v>
      </c>
      <c r="X130" s="1865" t="str">
        <f t="shared" si="33"/>
        <v xml:space="preserve">         .</v>
      </c>
      <c r="Y130" s="1865" t="str">
        <f t="shared" si="33"/>
        <v xml:space="preserve">         .</v>
      </c>
      <c r="Z130" s="1865" t="str">
        <f t="shared" si="33"/>
        <v xml:space="preserve">         .</v>
      </c>
    </row>
    <row r="131" spans="1:26" ht="15.6" x14ac:dyDescent="0.3">
      <c r="A131" s="1873"/>
      <c r="B131" s="1873"/>
      <c r="C131" s="1873"/>
      <c r="D131" s="1873"/>
      <c r="E131" s="1873"/>
      <c r="F131" s="1873"/>
      <c r="G131" s="1874"/>
      <c r="H131" s="1874"/>
      <c r="I131" s="1873"/>
      <c r="J131" s="1873"/>
      <c r="K131" s="1873"/>
      <c r="N131" s="739" t="s">
        <v>692</v>
      </c>
      <c r="O131" s="1837"/>
      <c r="P131" s="1837"/>
      <c r="Q131" s="1857" t="str">
        <f>Q$3</f>
        <v>Very Strong</v>
      </c>
      <c r="R131" s="1857" t="str">
        <f t="shared" ref="R131:Z131" si="34">R$3</f>
        <v>Strong</v>
      </c>
      <c r="S131" s="1857" t="str">
        <f t="shared" si="34"/>
        <v>Moderately Strong</v>
      </c>
      <c r="T131" s="1857" t="str">
        <f t="shared" si="34"/>
        <v>Adequate</v>
      </c>
      <c r="U131" s="1857" t="str">
        <f t="shared" si="34"/>
        <v>Moderately Adequate</v>
      </c>
      <c r="V131" s="1857" t="str">
        <f t="shared" si="34"/>
        <v>Moderately Weak</v>
      </c>
      <c r="W131" s="1857" t="str">
        <f t="shared" si="34"/>
        <v>Weak</v>
      </c>
      <c r="X131" s="1857" t="str">
        <f t="shared" si="34"/>
        <v>Very Weak</v>
      </c>
      <c r="Y131" s="1857" t="str">
        <f t="shared" si="34"/>
        <v>DEFICIENT</v>
      </c>
      <c r="Z131" s="1857" t="str">
        <f t="shared" si="34"/>
        <v>Materially Deficient</v>
      </c>
    </row>
    <row r="132" spans="1:26" ht="72" x14ac:dyDescent="0.3">
      <c r="A132" s="1883">
        <v>2</v>
      </c>
      <c r="B132" s="1882" t="str">
        <f>B10</f>
        <v>Preliminary Feasibility</v>
      </c>
      <c r="C132" s="1883"/>
      <c r="D132" s="1883"/>
      <c r="E132" s="1883">
        <f>N134+N135</f>
        <v>0</v>
      </c>
      <c r="F132" s="1883">
        <f ca="1">N137</f>
        <v>0</v>
      </c>
      <c r="G132" s="1888">
        <f ca="1">G10</f>
        <v>5</v>
      </c>
      <c r="H132" s="1889" t="str">
        <f ca="1">H10</f>
        <v>Very Strong</v>
      </c>
      <c r="I132" s="1890" t="s">
        <v>259</v>
      </c>
      <c r="J132" s="1890" t="str">
        <f ca="1">HLOOKUP($H132,$Q131:$Z139,2,0)</f>
        <v>The project is highly likely to be feasible on an overall basis. However,    Please prepare a clear strategy to address it(them).</v>
      </c>
      <c r="K132" s="1883"/>
      <c r="L132" s="844"/>
      <c r="M132" s="844"/>
      <c r="N132" s="1882" t="str">
        <f ca="1">H132</f>
        <v>Very Strong</v>
      </c>
      <c r="O132" s="1883"/>
      <c r="P132" s="1883" t="s">
        <v>698</v>
      </c>
      <c r="Q132" s="1884" t="str">
        <f t="shared" ref="Q132:Z132" ca="1" si="35">IF($N132=Q$122,CONCATENATE(Q133,Q136,Q137,Q138),"")</f>
        <v>The project is highly likely to be feasible on an overall basis. However,    Please prepare a clear strategy to address it(them).</v>
      </c>
      <c r="R132" s="1884" t="str">
        <f t="shared" ca="1" si="35"/>
        <v/>
      </c>
      <c r="S132" s="1884" t="str">
        <f t="shared" ca="1" si="35"/>
        <v/>
      </c>
      <c r="T132" s="1884" t="str">
        <f t="shared" ca="1" si="35"/>
        <v/>
      </c>
      <c r="U132" s="1884" t="str">
        <f t="shared" ca="1" si="35"/>
        <v/>
      </c>
      <c r="V132" s="1884" t="str">
        <f t="shared" ca="1" si="35"/>
        <v/>
      </c>
      <c r="W132" s="1884" t="str">
        <f t="shared" ca="1" si="35"/>
        <v/>
      </c>
      <c r="X132" s="1885" t="str">
        <f t="shared" ca="1" si="35"/>
        <v/>
      </c>
      <c r="Y132" s="1884" t="str">
        <f t="shared" ca="1" si="35"/>
        <v/>
      </c>
      <c r="Z132" s="1884" t="str">
        <f t="shared" ca="1" si="35"/>
        <v/>
      </c>
    </row>
    <row r="133" spans="1:26" ht="43.2" x14ac:dyDescent="0.3">
      <c r="A133" s="1890"/>
      <c r="B133" s="1890"/>
      <c r="C133" s="1890"/>
      <c r="D133" s="1890"/>
      <c r="E133" s="1890"/>
      <c r="F133" s="1890"/>
      <c r="G133" s="1890"/>
      <c r="H133" s="1890"/>
      <c r="I133" s="1890" t="s">
        <v>260</v>
      </c>
      <c r="J133" s="1890" t="str">
        <f ca="1">HLOOKUP($H132,$Q131:$Z140,9,0)</f>
        <v xml:space="preserve">               .</v>
      </c>
      <c r="K133" s="1890"/>
      <c r="L133" s="844"/>
      <c r="M133" s="844"/>
      <c r="N133" s="1882" t="str">
        <f>B132</f>
        <v>Preliminary Feasibility</v>
      </c>
      <c r="O133" s="1883"/>
      <c r="P133" s="1883" t="s">
        <v>696</v>
      </c>
      <c r="Q133" s="1886" t="s">
        <v>720</v>
      </c>
      <c r="R133" s="1886" t="s">
        <v>720</v>
      </c>
      <c r="S133" s="1886" t="s">
        <v>720</v>
      </c>
      <c r="T133" s="1886" t="s">
        <v>721</v>
      </c>
      <c r="U133" s="1886" t="s">
        <v>722</v>
      </c>
      <c r="V133" s="1886" t="s">
        <v>267</v>
      </c>
      <c r="W133" s="1886" t="s">
        <v>723</v>
      </c>
      <c r="X133" s="1886" t="s">
        <v>723</v>
      </c>
      <c r="Y133" s="1886" t="s">
        <v>784</v>
      </c>
      <c r="Z133" s="1887" t="s">
        <v>726</v>
      </c>
    </row>
    <row r="134" spans="1:26" ht="20.399999999999999" x14ac:dyDescent="0.3">
      <c r="A134" s="1890"/>
      <c r="B134" s="1890"/>
      <c r="C134" s="1890"/>
      <c r="D134" s="1890"/>
      <c r="E134" s="1890"/>
      <c r="F134" s="1890"/>
      <c r="G134" s="1883"/>
      <c r="H134" s="1883"/>
      <c r="I134" s="1883"/>
      <c r="J134" s="1883"/>
      <c r="K134" s="1890"/>
      <c r="L134" s="844"/>
      <c r="M134" s="844"/>
      <c r="N134" s="1883">
        <f>'Data Analysis'!P267</f>
        <v>0</v>
      </c>
      <c r="O134" s="1883"/>
      <c r="P134" s="1883" t="s">
        <v>699</v>
      </c>
      <c r="Q134" s="1886" t="s">
        <v>708</v>
      </c>
      <c r="R134" s="1886" t="s">
        <v>708</v>
      </c>
      <c r="S134" s="1886" t="s">
        <v>708</v>
      </c>
      <c r="T134" s="1886" t="s">
        <v>708</v>
      </c>
      <c r="U134" s="1886" t="s">
        <v>708</v>
      </c>
      <c r="V134" s="1886" t="s">
        <v>708</v>
      </c>
      <c r="W134" s="1886" t="s">
        <v>708</v>
      </c>
      <c r="X134" s="1886" t="s">
        <v>708</v>
      </c>
      <c r="Y134" s="1886" t="s">
        <v>708</v>
      </c>
      <c r="Z134" s="1886" t="s">
        <v>708</v>
      </c>
    </row>
    <row r="135" spans="1:26" ht="43.2" x14ac:dyDescent="0.3">
      <c r="A135" s="1890"/>
      <c r="B135" s="1890"/>
      <c r="C135" s="1890"/>
      <c r="D135" s="1890"/>
      <c r="E135" s="1890"/>
      <c r="F135" s="1890"/>
      <c r="G135" s="1890"/>
      <c r="H135" s="1890"/>
      <c r="I135" s="1890"/>
      <c r="J135" s="1890"/>
      <c r="K135" s="1890"/>
      <c r="L135" s="844"/>
      <c r="M135" s="844"/>
      <c r="N135" s="1883">
        <f>'Data Analysis'!P268+'Data Analysis'!P269</f>
        <v>0</v>
      </c>
      <c r="O135" s="1883"/>
      <c r="P135" s="1883" t="s">
        <v>700</v>
      </c>
      <c r="Q135" s="1886" t="s">
        <v>707</v>
      </c>
      <c r="R135" s="1886" t="s">
        <v>707</v>
      </c>
      <c r="S135" s="1886" t="s">
        <v>707</v>
      </c>
      <c r="T135" s="1886" t="s">
        <v>707</v>
      </c>
      <c r="U135" s="1886" t="s">
        <v>707</v>
      </c>
      <c r="V135" s="1886" t="s">
        <v>707</v>
      </c>
      <c r="W135" s="1886" t="s">
        <v>707</v>
      </c>
      <c r="X135" s="1886" t="s">
        <v>707</v>
      </c>
      <c r="Y135" s="1886" t="s">
        <v>707</v>
      </c>
      <c r="Z135" s="1886" t="s">
        <v>707</v>
      </c>
    </row>
    <row r="136" spans="1:26" x14ac:dyDescent="0.3">
      <c r="A136" s="1890"/>
      <c r="B136" s="1890"/>
      <c r="C136" s="1890"/>
      <c r="D136" s="1890"/>
      <c r="E136" s="1890"/>
      <c r="F136" s="1890"/>
      <c r="G136" s="1890"/>
      <c r="H136" s="1890"/>
      <c r="I136" s="1890"/>
      <c r="J136" s="1890"/>
      <c r="K136" s="1890"/>
      <c r="L136" s="844"/>
      <c r="M136" s="844"/>
      <c r="N136" s="1883"/>
      <c r="O136" s="1883"/>
      <c r="P136" s="1883" t="s">
        <v>697</v>
      </c>
      <c r="Q136" s="1891" t="str">
        <f ca="1">IF($N132=Q$122,IF(OR($N134&gt;0,$N135&gt;0),CONCATENATE(" potential Deal Breaker Conditions have been ",IF($N134&gt;0,"triggered"," skipped or marked uncertain"),IF($N137&lt;=0,"."," and ")),"  "),"  ")</f>
        <v xml:space="preserve">  </v>
      </c>
      <c r="R136" s="1891" t="str">
        <f t="shared" ref="R136:Z136" ca="1" si="36">IF($N132=R$122,IF(OR($N134&gt;0,$N135&gt;0),CONCATENATE(" potential Deal Breaker Conditions have been ",IF($N134&gt;0,"triggered"," skipped or marked uncertain"),IF($N137&lt;=0,"."," and ")),"  "),"  ")</f>
        <v xml:space="preserve">  </v>
      </c>
      <c r="S136" s="1891" t="str">
        <f t="shared" ca="1" si="36"/>
        <v xml:space="preserve">  </v>
      </c>
      <c r="T136" s="1891" t="str">
        <f t="shared" ca="1" si="36"/>
        <v xml:space="preserve">  </v>
      </c>
      <c r="U136" s="1891" t="str">
        <f t="shared" ca="1" si="36"/>
        <v xml:space="preserve">  </v>
      </c>
      <c r="V136" s="1891" t="str">
        <f t="shared" ca="1" si="36"/>
        <v xml:space="preserve">  </v>
      </c>
      <c r="W136" s="1891" t="str">
        <f t="shared" ca="1" si="36"/>
        <v xml:space="preserve">  </v>
      </c>
      <c r="X136" s="1891" t="str">
        <f t="shared" ca="1" si="36"/>
        <v xml:space="preserve">  </v>
      </c>
      <c r="Y136" s="1891" t="str">
        <f t="shared" ca="1" si="36"/>
        <v xml:space="preserve">  </v>
      </c>
      <c r="Z136" s="1891" t="str">
        <f t="shared" ca="1" si="36"/>
        <v xml:space="preserve">  </v>
      </c>
    </row>
    <row r="137" spans="1:26" x14ac:dyDescent="0.3">
      <c r="A137" s="1890"/>
      <c r="B137" s="1890"/>
      <c r="C137" s="1890"/>
      <c r="D137" s="1890"/>
      <c r="E137" s="1890"/>
      <c r="F137" s="1890"/>
      <c r="G137" s="1890"/>
      <c r="H137" s="1890"/>
      <c r="I137" s="1890"/>
      <c r="J137" s="1890"/>
      <c r="K137" s="1890"/>
      <c r="L137" s="844"/>
      <c r="M137" s="844"/>
      <c r="N137" s="1883">
        <f ca="1">V59</f>
        <v>0</v>
      </c>
      <c r="O137" s="1883"/>
      <c r="P137" s="1883" t="s">
        <v>702</v>
      </c>
      <c r="Q137" s="1886" t="str">
        <f t="shared" ref="Q137:Z137" ca="1" si="37">IF($N137&gt;0,"significant weakness(es) have been identified. ","")</f>
        <v/>
      </c>
      <c r="R137" s="1886" t="str">
        <f t="shared" ca="1" si="37"/>
        <v/>
      </c>
      <c r="S137" s="1886" t="str">
        <f t="shared" ca="1" si="37"/>
        <v/>
      </c>
      <c r="T137" s="1886" t="str">
        <f t="shared" ca="1" si="37"/>
        <v/>
      </c>
      <c r="U137" s="1886" t="str">
        <f t="shared" ca="1" si="37"/>
        <v/>
      </c>
      <c r="V137" s="1886" t="str">
        <f t="shared" ca="1" si="37"/>
        <v/>
      </c>
      <c r="W137" s="1886" t="str">
        <f t="shared" ca="1" si="37"/>
        <v/>
      </c>
      <c r="X137" s="1886" t="str">
        <f t="shared" ca="1" si="37"/>
        <v/>
      </c>
      <c r="Y137" s="1886" t="str">
        <f t="shared" ca="1" si="37"/>
        <v/>
      </c>
      <c r="Z137" s="1886" t="str">
        <f t="shared" ca="1" si="37"/>
        <v/>
      </c>
    </row>
    <row r="138" spans="1:26" ht="51" x14ac:dyDescent="0.3">
      <c r="A138" s="1890"/>
      <c r="B138" s="1890"/>
      <c r="C138" s="1890"/>
      <c r="D138" s="1890"/>
      <c r="E138" s="1890"/>
      <c r="F138" s="1890"/>
      <c r="G138" s="1890"/>
      <c r="H138" s="1890"/>
      <c r="I138" s="1890"/>
      <c r="J138" s="1890"/>
      <c r="K138" s="1890"/>
      <c r="L138" s="844"/>
      <c r="M138" s="844"/>
      <c r="N138" s="1883"/>
      <c r="O138" s="1883"/>
      <c r="P138" s="1883" t="s">
        <v>715</v>
      </c>
      <c r="Q138" s="1886" t="s">
        <v>703</v>
      </c>
      <c r="R138" s="1886" t="s">
        <v>703</v>
      </c>
      <c r="S138" s="1886" t="s">
        <v>703</v>
      </c>
      <c r="T138" s="1886" t="s">
        <v>703</v>
      </c>
      <c r="U138" s="1886" t="s">
        <v>703</v>
      </c>
      <c r="V138" s="1886" t="s">
        <v>709</v>
      </c>
      <c r="W138" s="1886" t="s">
        <v>709</v>
      </c>
      <c r="X138" s="1886" t="s">
        <v>724</v>
      </c>
      <c r="Y138" s="1886" t="s">
        <v>725</v>
      </c>
      <c r="Z138" s="1886" t="s">
        <v>728</v>
      </c>
    </row>
    <row r="139" spans="1:26" x14ac:dyDescent="0.3">
      <c r="A139" s="1890"/>
      <c r="B139" s="1890"/>
      <c r="C139" s="1890"/>
      <c r="D139" s="1890"/>
      <c r="E139" s="1890"/>
      <c r="F139" s="1890"/>
      <c r="G139" s="1890"/>
      <c r="H139" s="1890"/>
      <c r="I139" s="1890"/>
      <c r="J139" s="1890"/>
      <c r="K139" s="1890"/>
      <c r="L139" s="844"/>
      <c r="M139" s="844"/>
      <c r="N139" s="1883"/>
      <c r="O139" s="1883"/>
      <c r="P139" s="1883" t="s">
        <v>260</v>
      </c>
      <c r="Q139" s="1886" t="str">
        <f ca="1">U59</f>
        <v xml:space="preserve">               .</v>
      </c>
      <c r="R139" s="1886" t="str">
        <f t="shared" ref="R139:Z139" ca="1" si="38">Q139</f>
        <v xml:space="preserve">               .</v>
      </c>
      <c r="S139" s="1886" t="str">
        <f t="shared" ca="1" si="38"/>
        <v xml:space="preserve">               .</v>
      </c>
      <c r="T139" s="1886" t="str">
        <f t="shared" ca="1" si="38"/>
        <v xml:space="preserve">               .</v>
      </c>
      <c r="U139" s="1886" t="str">
        <f t="shared" ca="1" si="38"/>
        <v xml:space="preserve">               .</v>
      </c>
      <c r="V139" s="1886" t="str">
        <f t="shared" ca="1" si="38"/>
        <v xml:space="preserve">               .</v>
      </c>
      <c r="W139" s="1886" t="str">
        <f t="shared" ca="1" si="38"/>
        <v xml:space="preserve">               .</v>
      </c>
      <c r="X139" s="1886" t="str">
        <f t="shared" ca="1" si="38"/>
        <v xml:space="preserve">               .</v>
      </c>
      <c r="Y139" s="1886" t="str">
        <f t="shared" ca="1" si="38"/>
        <v xml:space="preserve">               .</v>
      </c>
      <c r="Z139" s="1886" t="str">
        <f t="shared" ca="1" si="38"/>
        <v xml:space="preserve">               .</v>
      </c>
    </row>
    <row r="140" spans="1:26" ht="15.6" x14ac:dyDescent="0.3">
      <c r="A140" s="1873"/>
      <c r="B140" s="1873"/>
      <c r="C140" s="1873"/>
      <c r="D140" s="1873"/>
      <c r="E140" s="1873"/>
      <c r="F140" s="1873"/>
      <c r="G140" s="1874"/>
      <c r="H140" s="1874"/>
      <c r="I140" s="1873"/>
      <c r="J140" s="1873"/>
      <c r="K140" s="1873"/>
      <c r="N140" s="739" t="s">
        <v>692</v>
      </c>
      <c r="O140" s="1837"/>
      <c r="P140" s="1837"/>
      <c r="Q140" s="1857" t="str">
        <f>Q$3</f>
        <v>Very Strong</v>
      </c>
      <c r="R140" s="1857" t="str">
        <f t="shared" ref="R140:Z140" si="39">R$3</f>
        <v>Strong</v>
      </c>
      <c r="S140" s="1857" t="str">
        <f t="shared" si="39"/>
        <v>Moderately Strong</v>
      </c>
      <c r="T140" s="1857" t="str">
        <f t="shared" si="39"/>
        <v>Adequate</v>
      </c>
      <c r="U140" s="1857" t="str">
        <f t="shared" si="39"/>
        <v>Moderately Adequate</v>
      </c>
      <c r="V140" s="1857" t="str">
        <f t="shared" si="39"/>
        <v>Moderately Weak</v>
      </c>
      <c r="W140" s="1857" t="str">
        <f t="shared" si="39"/>
        <v>Weak</v>
      </c>
      <c r="X140" s="1857" t="str">
        <f t="shared" si="39"/>
        <v>Very Weak</v>
      </c>
      <c r="Y140" s="1857" t="str">
        <f t="shared" si="39"/>
        <v>DEFICIENT</v>
      </c>
      <c r="Z140" s="1857" t="str">
        <f t="shared" si="39"/>
        <v>Materially Deficient</v>
      </c>
    </row>
    <row r="141" spans="1:26" ht="187.2" x14ac:dyDescent="0.3">
      <c r="A141" s="1896">
        <v>3</v>
      </c>
      <c r="B141" s="1895" t="str">
        <f>B19</f>
        <v>Risk Assessment</v>
      </c>
      <c r="C141" s="1896"/>
      <c r="D141" s="1896"/>
      <c r="E141" s="1896">
        <f>N143+N144</f>
        <v>0</v>
      </c>
      <c r="F141" s="1896">
        <f>N146</f>
        <v>0</v>
      </c>
      <c r="G141" s="1892">
        <f>G19</f>
        <v>5</v>
      </c>
      <c r="H141" s="1893" t="str">
        <f>H19</f>
        <v>Very Strong</v>
      </c>
      <c r="I141" s="1894" t="s">
        <v>259</v>
      </c>
      <c r="J141" s="1894" t="str">
        <f>HLOOKUP($H141,$Q140:$Z148,2,0)</f>
        <v>The project has a strong risk profile in terms of overall risk allocation and mitigation. Key risks have been identified and equitably shared to reduce the overall risk profile. There is a high degree of certainty that the proposed risk sharing will generate substantial private sector interest. However,    Please prepare a clear strategy to address it(them).</v>
      </c>
      <c r="K141" s="1896"/>
      <c r="N141" s="1895" t="str">
        <f>H141</f>
        <v>Very Strong</v>
      </c>
      <c r="O141" s="1896"/>
      <c r="P141" s="1896" t="s">
        <v>698</v>
      </c>
      <c r="Q141" s="1897" t="str">
        <f t="shared" ref="Q141:Z141" si="40">IF($N141=Q$122,CONCATENATE(Q142,Q145,Q146,Q147),"")</f>
        <v>The project has a strong risk profile in terms of overall risk allocation and mitigation. Key risks have been identified and equitably shared to reduce the overall risk profile. There is a high degree of certainty that the proposed risk sharing will generate substantial private sector interest. However,    Please prepare a clear strategy to address it(them).</v>
      </c>
      <c r="R141" s="1897" t="str">
        <f t="shared" si="40"/>
        <v/>
      </c>
      <c r="S141" s="1897" t="str">
        <f t="shared" si="40"/>
        <v/>
      </c>
      <c r="T141" s="1897" t="str">
        <f t="shared" si="40"/>
        <v/>
      </c>
      <c r="U141" s="1897" t="str">
        <f t="shared" si="40"/>
        <v/>
      </c>
      <c r="V141" s="1897" t="str">
        <f t="shared" si="40"/>
        <v/>
      </c>
      <c r="W141" s="1897" t="str">
        <f t="shared" si="40"/>
        <v/>
      </c>
      <c r="X141" s="1898" t="str">
        <f t="shared" si="40"/>
        <v/>
      </c>
      <c r="Y141" s="1897" t="str">
        <f t="shared" si="40"/>
        <v/>
      </c>
      <c r="Z141" s="1897" t="str">
        <f t="shared" si="40"/>
        <v/>
      </c>
    </row>
    <row r="142" spans="1:26" ht="91.8" x14ac:dyDescent="0.3">
      <c r="A142" s="1894"/>
      <c r="B142" s="1894"/>
      <c r="C142" s="1894"/>
      <c r="D142" s="1894"/>
      <c r="E142" s="1894"/>
      <c r="F142" s="1894"/>
      <c r="G142" s="1894"/>
      <c r="H142" s="1894"/>
      <c r="I142" s="1894" t="s">
        <v>260</v>
      </c>
      <c r="J142" s="1894" t="str">
        <f>HLOOKUP($H141,$Q140:$Z149,9,0)</f>
        <v xml:space="preserve">                     .</v>
      </c>
      <c r="K142" s="1894"/>
      <c r="N142" s="1895" t="str">
        <f>B141</f>
        <v>Risk Assessment</v>
      </c>
      <c r="O142" s="1896"/>
      <c r="P142" s="1896" t="s">
        <v>696</v>
      </c>
      <c r="Q142" s="1899" t="s">
        <v>765</v>
      </c>
      <c r="R142" s="1899" t="s">
        <v>766</v>
      </c>
      <c r="S142" s="1899" t="s">
        <v>767</v>
      </c>
      <c r="T142" s="1899" t="s">
        <v>768</v>
      </c>
      <c r="U142" s="1899" t="s">
        <v>769</v>
      </c>
      <c r="V142" s="1899" t="s">
        <v>772</v>
      </c>
      <c r="W142" s="1899" t="s">
        <v>773</v>
      </c>
      <c r="X142" s="1899" t="s">
        <v>739</v>
      </c>
      <c r="Y142" s="1899" t="s">
        <v>776</v>
      </c>
      <c r="Z142" s="1900" t="s">
        <v>712</v>
      </c>
    </row>
    <row r="143" spans="1:26" ht="20.399999999999999" x14ac:dyDescent="0.3">
      <c r="A143" s="1894"/>
      <c r="B143" s="1894"/>
      <c r="C143" s="1894"/>
      <c r="D143" s="1894"/>
      <c r="E143" s="1894"/>
      <c r="F143" s="1894"/>
      <c r="G143" s="1896"/>
      <c r="H143" s="1896"/>
      <c r="I143" s="1896"/>
      <c r="J143" s="1896"/>
      <c r="K143" s="1894"/>
      <c r="N143" s="1896">
        <f>'Data Analysis'!Q267</f>
        <v>0</v>
      </c>
      <c r="O143" s="1896"/>
      <c r="P143" s="1896" t="s">
        <v>699</v>
      </c>
      <c r="Q143" s="1899" t="s">
        <v>708</v>
      </c>
      <c r="R143" s="1899" t="s">
        <v>708</v>
      </c>
      <c r="S143" s="1899" t="s">
        <v>708</v>
      </c>
      <c r="T143" s="1899" t="s">
        <v>708</v>
      </c>
      <c r="U143" s="1899" t="s">
        <v>708</v>
      </c>
      <c r="V143" s="1899" t="s">
        <v>708</v>
      </c>
      <c r="W143" s="1899" t="s">
        <v>708</v>
      </c>
      <c r="X143" s="1899" t="s">
        <v>708</v>
      </c>
      <c r="Y143" s="1899" t="s">
        <v>708</v>
      </c>
      <c r="Z143" s="1899" t="s">
        <v>708</v>
      </c>
    </row>
    <row r="144" spans="1:26" ht="43.2" x14ac:dyDescent="0.3">
      <c r="A144" s="1894"/>
      <c r="B144" s="1894"/>
      <c r="C144" s="1894"/>
      <c r="D144" s="1894"/>
      <c r="E144" s="1894"/>
      <c r="F144" s="1894"/>
      <c r="G144" s="1894"/>
      <c r="H144" s="1894"/>
      <c r="I144" s="1894"/>
      <c r="J144" s="1894"/>
      <c r="K144" s="1894"/>
      <c r="N144" s="1896">
        <f>'Data Analysis'!Q268+'Data Analysis'!Q269</f>
        <v>0</v>
      </c>
      <c r="O144" s="1896"/>
      <c r="P144" s="1896" t="s">
        <v>700</v>
      </c>
      <c r="Q144" s="1899" t="s">
        <v>707</v>
      </c>
      <c r="R144" s="1899" t="s">
        <v>707</v>
      </c>
      <c r="S144" s="1899" t="s">
        <v>707</v>
      </c>
      <c r="T144" s="1899" t="s">
        <v>707</v>
      </c>
      <c r="U144" s="1899" t="s">
        <v>707</v>
      </c>
      <c r="V144" s="1899" t="s">
        <v>707</v>
      </c>
      <c r="W144" s="1899" t="s">
        <v>707</v>
      </c>
      <c r="X144" s="1899" t="s">
        <v>707</v>
      </c>
      <c r="Y144" s="1899" t="s">
        <v>707</v>
      </c>
      <c r="Z144" s="1899" t="s">
        <v>707</v>
      </c>
    </row>
    <row r="145" spans="1:26" x14ac:dyDescent="0.3">
      <c r="A145" s="1894"/>
      <c r="B145" s="1894"/>
      <c r="C145" s="1894"/>
      <c r="D145" s="1894"/>
      <c r="E145" s="1894"/>
      <c r="F145" s="1894"/>
      <c r="G145" s="1894"/>
      <c r="H145" s="1894"/>
      <c r="I145" s="1894"/>
      <c r="J145" s="1894"/>
      <c r="K145" s="1894"/>
      <c r="N145" s="1896"/>
      <c r="O145" s="1896"/>
      <c r="P145" s="1896" t="s">
        <v>697</v>
      </c>
      <c r="Q145" s="1901" t="str">
        <f>IF($N141=Q$122,IF(OR($N143&gt;0,$N144&gt;0),CONCATENATE(" potential Deal Breaker Conditions have been ",IF($N143&gt;0,"triggered"," skipped or marked uncertain"),IF($N146&lt;=0,"."," and ")),"  "),"  ")</f>
        <v xml:space="preserve">  </v>
      </c>
      <c r="R145" s="1901" t="str">
        <f t="shared" ref="R145:Z145" si="41">IF($N141=R$122,IF(OR($N143&gt;0,$N144&gt;0),CONCATENATE(" potential Deal Breaker Conditions have been ",IF($N143&gt;0,"triggered"," skipped or marked uncertain"),IF($N146&lt;=0,"."," and ")),"  "),"  ")</f>
        <v xml:space="preserve">  </v>
      </c>
      <c r="S145" s="1901" t="str">
        <f t="shared" si="41"/>
        <v xml:space="preserve">  </v>
      </c>
      <c r="T145" s="1901" t="str">
        <f t="shared" si="41"/>
        <v xml:space="preserve">  </v>
      </c>
      <c r="U145" s="1901" t="str">
        <f t="shared" si="41"/>
        <v xml:space="preserve">  </v>
      </c>
      <c r="V145" s="1901" t="str">
        <f t="shared" si="41"/>
        <v xml:space="preserve">  </v>
      </c>
      <c r="W145" s="1901" t="str">
        <f t="shared" si="41"/>
        <v xml:space="preserve">  </v>
      </c>
      <c r="X145" s="1901" t="str">
        <f t="shared" si="41"/>
        <v xml:space="preserve">  </v>
      </c>
      <c r="Y145" s="1901" t="str">
        <f t="shared" si="41"/>
        <v xml:space="preserve">  </v>
      </c>
      <c r="Z145" s="1901" t="str">
        <f t="shared" si="41"/>
        <v xml:space="preserve">  </v>
      </c>
    </row>
    <row r="146" spans="1:26" x14ac:dyDescent="0.3">
      <c r="A146" s="1894"/>
      <c r="B146" s="1894"/>
      <c r="C146" s="1894"/>
      <c r="D146" s="1894"/>
      <c r="E146" s="1894"/>
      <c r="F146" s="1894"/>
      <c r="G146" s="1894"/>
      <c r="H146" s="1894"/>
      <c r="I146" s="1894"/>
      <c r="J146" s="1894"/>
      <c r="K146" s="1894"/>
      <c r="N146" s="1896">
        <f>V66</f>
        <v>0</v>
      </c>
      <c r="O146" s="1896"/>
      <c r="P146" s="1896" t="s">
        <v>702</v>
      </c>
      <c r="Q146" s="1899" t="str">
        <f t="shared" ref="Q146:Z146" si="42">IF($N146&gt;0,"significant weakness(es) have been identified. ","")</f>
        <v/>
      </c>
      <c r="R146" s="1899" t="str">
        <f t="shared" si="42"/>
        <v/>
      </c>
      <c r="S146" s="1899" t="str">
        <f t="shared" si="42"/>
        <v/>
      </c>
      <c r="T146" s="1899" t="str">
        <f t="shared" si="42"/>
        <v/>
      </c>
      <c r="U146" s="1899" t="str">
        <f t="shared" si="42"/>
        <v/>
      </c>
      <c r="V146" s="1899" t="str">
        <f t="shared" si="42"/>
        <v/>
      </c>
      <c r="W146" s="1899" t="str">
        <f t="shared" si="42"/>
        <v/>
      </c>
      <c r="X146" s="1899" t="str">
        <f t="shared" si="42"/>
        <v/>
      </c>
      <c r="Y146" s="1899" t="str">
        <f t="shared" si="42"/>
        <v/>
      </c>
      <c r="Z146" s="1899" t="str">
        <f t="shared" si="42"/>
        <v/>
      </c>
    </row>
    <row r="147" spans="1:26" ht="81.599999999999994" x14ac:dyDescent="0.3">
      <c r="A147" s="1894"/>
      <c r="B147" s="1894"/>
      <c r="C147" s="1894"/>
      <c r="D147" s="1894"/>
      <c r="E147" s="1894"/>
      <c r="F147" s="1894"/>
      <c r="G147" s="1894"/>
      <c r="H147" s="1894"/>
      <c r="I147" s="1894"/>
      <c r="J147" s="1894"/>
      <c r="K147" s="1894"/>
      <c r="N147" s="1896"/>
      <c r="O147" s="1896"/>
      <c r="P147" s="1896" t="s">
        <v>715</v>
      </c>
      <c r="Q147" s="1899" t="s">
        <v>703</v>
      </c>
      <c r="R147" s="1899" t="s">
        <v>703</v>
      </c>
      <c r="S147" s="1899" t="s">
        <v>703</v>
      </c>
      <c r="T147" s="1899" t="s">
        <v>703</v>
      </c>
      <c r="U147" s="1899" t="s">
        <v>770</v>
      </c>
      <c r="V147" s="1899" t="s">
        <v>771</v>
      </c>
      <c r="W147" s="1899" t="s">
        <v>774</v>
      </c>
      <c r="X147" s="1899" t="s">
        <v>775</v>
      </c>
      <c r="Y147" s="1899" t="s">
        <v>777</v>
      </c>
      <c r="Z147" s="1899" t="s">
        <v>777</v>
      </c>
    </row>
    <row r="148" spans="1:26" x14ac:dyDescent="0.3">
      <c r="A148" s="1894"/>
      <c r="B148" s="1894"/>
      <c r="C148" s="1894"/>
      <c r="D148" s="1894"/>
      <c r="E148" s="1894"/>
      <c r="F148" s="1894"/>
      <c r="G148" s="1894"/>
      <c r="H148" s="1894"/>
      <c r="I148" s="1894"/>
      <c r="J148" s="1894"/>
      <c r="K148" s="1894"/>
      <c r="N148" s="1896"/>
      <c r="O148" s="1896"/>
      <c r="P148" s="1896" t="s">
        <v>260</v>
      </c>
      <c r="Q148" s="1899" t="str">
        <f>U66</f>
        <v xml:space="preserve">                     .</v>
      </c>
      <c r="R148" s="1899" t="str">
        <f t="shared" ref="R148:Z148" si="43">Q148</f>
        <v xml:space="preserve">                     .</v>
      </c>
      <c r="S148" s="1899" t="str">
        <f t="shared" si="43"/>
        <v xml:space="preserve">                     .</v>
      </c>
      <c r="T148" s="1899" t="str">
        <f t="shared" si="43"/>
        <v xml:space="preserve">                     .</v>
      </c>
      <c r="U148" s="1899" t="str">
        <f t="shared" si="43"/>
        <v xml:space="preserve">                     .</v>
      </c>
      <c r="V148" s="1899" t="str">
        <f t="shared" si="43"/>
        <v xml:space="preserve">                     .</v>
      </c>
      <c r="W148" s="1899" t="str">
        <f t="shared" si="43"/>
        <v xml:space="preserve">                     .</v>
      </c>
      <c r="X148" s="1899" t="str">
        <f t="shared" si="43"/>
        <v xml:space="preserve">                     .</v>
      </c>
      <c r="Y148" s="1899" t="str">
        <f t="shared" si="43"/>
        <v xml:space="preserve">                     .</v>
      </c>
      <c r="Z148" s="1899" t="str">
        <f t="shared" si="43"/>
        <v xml:space="preserve">                     .</v>
      </c>
    </row>
    <row r="149" spans="1:26" ht="15.6" x14ac:dyDescent="0.3">
      <c r="A149" s="1873"/>
      <c r="B149" s="1873"/>
      <c r="C149" s="1873"/>
      <c r="D149" s="1873"/>
      <c r="E149" s="1873"/>
      <c r="F149" s="1873"/>
      <c r="G149" s="1874"/>
      <c r="H149" s="1874"/>
      <c r="I149" s="1873"/>
      <c r="J149" s="1873"/>
      <c r="K149" s="1873"/>
      <c r="N149" s="739" t="s">
        <v>692</v>
      </c>
      <c r="O149" s="1837"/>
      <c r="P149" s="1837"/>
      <c r="Q149" s="1857" t="str">
        <f>Q$3</f>
        <v>Very Strong</v>
      </c>
      <c r="R149" s="1857" t="str">
        <f t="shared" ref="R149:Z149" si="44">R$3</f>
        <v>Strong</v>
      </c>
      <c r="S149" s="1857" t="str">
        <f t="shared" si="44"/>
        <v>Moderately Strong</v>
      </c>
      <c r="T149" s="1857" t="str">
        <f t="shared" si="44"/>
        <v>Adequate</v>
      </c>
      <c r="U149" s="1857" t="str">
        <f t="shared" si="44"/>
        <v>Moderately Adequate</v>
      </c>
      <c r="V149" s="1857" t="str">
        <f t="shared" si="44"/>
        <v>Moderately Weak</v>
      </c>
      <c r="W149" s="1857" t="str">
        <f t="shared" si="44"/>
        <v>Weak</v>
      </c>
      <c r="X149" s="1857" t="str">
        <f t="shared" si="44"/>
        <v>Very Weak</v>
      </c>
      <c r="Y149" s="1857" t="str">
        <f t="shared" si="44"/>
        <v>DEFICIENT</v>
      </c>
      <c r="Z149" s="1857" t="str">
        <f t="shared" si="44"/>
        <v>Materially Deficient</v>
      </c>
    </row>
    <row r="150" spans="1:26" ht="187.2" x14ac:dyDescent="0.3">
      <c r="A150" s="1878">
        <v>4</v>
      </c>
      <c r="B150" s="1827" t="str">
        <f>B29</f>
        <v>PPP Suitability</v>
      </c>
      <c r="C150" s="1878"/>
      <c r="D150" s="1878"/>
      <c r="E150" s="1878">
        <f>N152+N153</f>
        <v>0</v>
      </c>
      <c r="F150" s="1878">
        <f>N155</f>
        <v>0</v>
      </c>
      <c r="G150" s="1905">
        <f>G29</f>
        <v>5</v>
      </c>
      <c r="H150" s="1869" t="str">
        <f>H29</f>
        <v>Very Strong</v>
      </c>
      <c r="I150" s="1870" t="s">
        <v>259</v>
      </c>
      <c r="J150" s="1870" t="str">
        <f>HLOOKUP($H150,$Q149:$Z157,2,0)</f>
        <v>The project is extremely amenable as a PPP. There is a strong indication on value-for-money and a potentially favourable market  interest. Please note that the project's bankability is dependent on availability and adequacy of the required government support measures. However,    Please prepare a clear strategy to address it(them).</v>
      </c>
      <c r="K150" s="1878"/>
      <c r="N150" s="1827" t="str">
        <f>H150</f>
        <v>Very Strong</v>
      </c>
      <c r="O150" s="1878"/>
      <c r="P150" s="1878" t="s">
        <v>698</v>
      </c>
      <c r="Q150" s="1879" t="str">
        <f t="shared" ref="Q150:Z150" si="45">IF($N150=Q$122,CONCATENATE(Q151,Q154,Q155,Q156),"")</f>
        <v>The project is extremely amenable as a PPP. There is a strong indication on value-for-money and a potentially favourable market  interest. Please note that the project's bankability is dependent on availability and adequacy of the required government support measures. However,    Please prepare a clear strategy to address it(them).</v>
      </c>
      <c r="R150" s="1879" t="str">
        <f t="shared" si="45"/>
        <v/>
      </c>
      <c r="S150" s="1879" t="str">
        <f t="shared" si="45"/>
        <v/>
      </c>
      <c r="T150" s="1879" t="str">
        <f t="shared" si="45"/>
        <v/>
      </c>
      <c r="U150" s="1879" t="str">
        <f t="shared" si="45"/>
        <v/>
      </c>
      <c r="V150" s="1879" t="str">
        <f t="shared" si="45"/>
        <v/>
      </c>
      <c r="W150" s="1879" t="str">
        <f t="shared" si="45"/>
        <v/>
      </c>
      <c r="X150" s="1858" t="str">
        <f t="shared" si="45"/>
        <v/>
      </c>
      <c r="Y150" s="1879" t="str">
        <f t="shared" si="45"/>
        <v/>
      </c>
      <c r="Z150" s="1879" t="str">
        <f t="shared" si="45"/>
        <v/>
      </c>
    </row>
    <row r="151" spans="1:26" ht="81.599999999999994" x14ac:dyDescent="0.3">
      <c r="A151" s="1870"/>
      <c r="B151" s="1870"/>
      <c r="C151" s="1870"/>
      <c r="D151" s="1870"/>
      <c r="E151" s="1870"/>
      <c r="F151" s="1870"/>
      <c r="G151" s="1870"/>
      <c r="H151" s="1870"/>
      <c r="I151" s="1870" t="s">
        <v>260</v>
      </c>
      <c r="J151" s="1870" t="str">
        <f>HLOOKUP($H150,$Q149:$Z157,9,0)</f>
        <v xml:space="preserve">   .</v>
      </c>
      <c r="K151" s="1870"/>
      <c r="N151" s="1827" t="str">
        <f>B150</f>
        <v>PPP Suitability</v>
      </c>
      <c r="O151" s="1878"/>
      <c r="P151" s="1878" t="s">
        <v>696</v>
      </c>
      <c r="Q151" s="1880" t="s">
        <v>729</v>
      </c>
      <c r="R151" s="1880" t="s">
        <v>730</v>
      </c>
      <c r="S151" s="1880" t="s">
        <v>731</v>
      </c>
      <c r="T151" s="1880" t="s">
        <v>732</v>
      </c>
      <c r="U151" s="1880" t="s">
        <v>733</v>
      </c>
      <c r="V151" s="1880" t="s">
        <v>736</v>
      </c>
      <c r="W151" s="1880" t="s">
        <v>737</v>
      </c>
      <c r="X151" s="1880" t="s">
        <v>739</v>
      </c>
      <c r="Y151" s="1880" t="s">
        <v>741</v>
      </c>
      <c r="Z151" s="1881" t="s">
        <v>712</v>
      </c>
    </row>
    <row r="152" spans="1:26" ht="20.399999999999999" x14ac:dyDescent="0.3">
      <c r="A152" s="1870"/>
      <c r="B152" s="1870"/>
      <c r="C152" s="1870"/>
      <c r="D152" s="1870"/>
      <c r="E152" s="1870"/>
      <c r="F152" s="1870"/>
      <c r="G152" s="1878"/>
      <c r="H152" s="1878"/>
      <c r="I152" s="1878"/>
      <c r="J152" s="1878"/>
      <c r="K152" s="1870"/>
      <c r="N152" s="1878">
        <f>'Data Analysis'!R267</f>
        <v>0</v>
      </c>
      <c r="O152" s="1878"/>
      <c r="P152" s="1878" t="s">
        <v>699</v>
      </c>
      <c r="Q152" s="1880" t="s">
        <v>708</v>
      </c>
      <c r="R152" s="1880" t="s">
        <v>708</v>
      </c>
      <c r="S152" s="1880" t="s">
        <v>708</v>
      </c>
      <c r="T152" s="1880" t="s">
        <v>708</v>
      </c>
      <c r="U152" s="1880" t="s">
        <v>708</v>
      </c>
      <c r="V152" s="1880" t="s">
        <v>708</v>
      </c>
      <c r="W152" s="1880" t="s">
        <v>708</v>
      </c>
      <c r="X152" s="1880" t="s">
        <v>708</v>
      </c>
      <c r="Y152" s="1880" t="s">
        <v>708</v>
      </c>
      <c r="Z152" s="1880" t="s">
        <v>708</v>
      </c>
    </row>
    <row r="153" spans="1:26" ht="43.2" x14ac:dyDescent="0.3">
      <c r="A153" s="1870"/>
      <c r="B153" s="1870"/>
      <c r="C153" s="1870"/>
      <c r="D153" s="1870"/>
      <c r="E153" s="1870"/>
      <c r="F153" s="1870"/>
      <c r="G153" s="1870"/>
      <c r="H153" s="1870"/>
      <c r="I153" s="1870"/>
      <c r="J153" s="1870"/>
      <c r="K153" s="1870"/>
      <c r="N153" s="1878">
        <f>'Data Analysis'!R268+'Data Analysis'!R269</f>
        <v>0</v>
      </c>
      <c r="O153" s="1878"/>
      <c r="P153" s="1878" t="s">
        <v>700</v>
      </c>
      <c r="Q153" s="1880" t="s">
        <v>707</v>
      </c>
      <c r="R153" s="1880" t="s">
        <v>707</v>
      </c>
      <c r="S153" s="1880" t="s">
        <v>707</v>
      </c>
      <c r="T153" s="1880" t="s">
        <v>707</v>
      </c>
      <c r="U153" s="1880" t="s">
        <v>707</v>
      </c>
      <c r="V153" s="1880" t="s">
        <v>707</v>
      </c>
      <c r="W153" s="1880" t="s">
        <v>707</v>
      </c>
      <c r="X153" s="1880" t="s">
        <v>707</v>
      </c>
      <c r="Y153" s="1880" t="s">
        <v>707</v>
      </c>
      <c r="Z153" s="1880" t="s">
        <v>707</v>
      </c>
    </row>
    <row r="154" spans="1:26" x14ac:dyDescent="0.3">
      <c r="A154" s="1870"/>
      <c r="B154" s="1870"/>
      <c r="C154" s="1870"/>
      <c r="D154" s="1870"/>
      <c r="E154" s="1870"/>
      <c r="F154" s="1870"/>
      <c r="G154" s="1870"/>
      <c r="H154" s="1870"/>
      <c r="I154" s="1870"/>
      <c r="J154" s="1870"/>
      <c r="K154" s="1870"/>
      <c r="N154" s="1878"/>
      <c r="O154" s="1878"/>
      <c r="P154" s="1878" t="s">
        <v>697</v>
      </c>
      <c r="Q154" s="1906" t="str">
        <f>IF($N150=Q$122,IF(OR($N152&gt;0,$N153&gt;0),CONCATENATE(" potential Deal Breaker Conditions have been ",IF($N152&gt;0,"triggered"," skipped or marked uncertain"),IF($N155&lt;=0,"."," and ")),"  "),"  ")</f>
        <v xml:space="preserve">  </v>
      </c>
      <c r="R154" s="1906" t="str">
        <f t="shared" ref="R154:Z154" si="46">IF($N150=R$122,IF(OR($N152&gt;0,$N153&gt;0),CONCATENATE(" potential Deal Breaker Conditions have been ",IF($N152&gt;0,"triggered"," skipped or marked uncertain"),IF($N155&lt;=0,"."," and ")),"  "),"  ")</f>
        <v xml:space="preserve">  </v>
      </c>
      <c r="S154" s="1906" t="str">
        <f t="shared" si="46"/>
        <v xml:space="preserve">  </v>
      </c>
      <c r="T154" s="1906" t="str">
        <f t="shared" si="46"/>
        <v xml:space="preserve">  </v>
      </c>
      <c r="U154" s="1906" t="str">
        <f t="shared" si="46"/>
        <v xml:space="preserve">  </v>
      </c>
      <c r="V154" s="1906" t="str">
        <f t="shared" si="46"/>
        <v xml:space="preserve">  </v>
      </c>
      <c r="W154" s="1906" t="str">
        <f t="shared" si="46"/>
        <v xml:space="preserve">  </v>
      </c>
      <c r="X154" s="1906" t="str">
        <f t="shared" si="46"/>
        <v xml:space="preserve">  </v>
      </c>
      <c r="Y154" s="1906" t="str">
        <f t="shared" si="46"/>
        <v xml:space="preserve">  </v>
      </c>
      <c r="Z154" s="1906" t="str">
        <f t="shared" si="46"/>
        <v xml:space="preserve">  </v>
      </c>
    </row>
    <row r="155" spans="1:26" x14ac:dyDescent="0.3">
      <c r="A155" s="1870"/>
      <c r="B155" s="1870"/>
      <c r="C155" s="1870"/>
      <c r="D155" s="1870"/>
      <c r="E155" s="1870"/>
      <c r="F155" s="1870"/>
      <c r="G155" s="1870"/>
      <c r="H155" s="1870"/>
      <c r="I155" s="1870"/>
      <c r="J155" s="1870"/>
      <c r="K155" s="1870"/>
      <c r="N155" s="1878">
        <f>V75</f>
        <v>0</v>
      </c>
      <c r="O155" s="1878"/>
      <c r="P155" s="1878" t="s">
        <v>702</v>
      </c>
      <c r="Q155" s="1880" t="str">
        <f t="shared" ref="Q155:Z155" si="47">IF($N155&gt;0,"significant weakness(es) have been identified. ","")</f>
        <v/>
      </c>
      <c r="R155" s="1880" t="str">
        <f t="shared" si="47"/>
        <v/>
      </c>
      <c r="S155" s="1880" t="str">
        <f t="shared" si="47"/>
        <v/>
      </c>
      <c r="T155" s="1880" t="str">
        <f t="shared" si="47"/>
        <v/>
      </c>
      <c r="U155" s="1880" t="str">
        <f t="shared" si="47"/>
        <v/>
      </c>
      <c r="V155" s="1880" t="str">
        <f t="shared" si="47"/>
        <v/>
      </c>
      <c r="W155" s="1880" t="str">
        <f t="shared" si="47"/>
        <v/>
      </c>
      <c r="X155" s="1880" t="str">
        <f t="shared" si="47"/>
        <v/>
      </c>
      <c r="Y155" s="1880" t="str">
        <f t="shared" si="47"/>
        <v/>
      </c>
      <c r="Z155" s="1880" t="str">
        <f t="shared" si="47"/>
        <v/>
      </c>
    </row>
    <row r="156" spans="1:26" ht="51" x14ac:dyDescent="0.3">
      <c r="A156" s="1870"/>
      <c r="B156" s="1870"/>
      <c r="C156" s="1870"/>
      <c r="D156" s="1870"/>
      <c r="E156" s="1870"/>
      <c r="F156" s="1870"/>
      <c r="G156" s="1870"/>
      <c r="H156" s="1870"/>
      <c r="I156" s="1870"/>
      <c r="J156" s="1870"/>
      <c r="K156" s="1870"/>
      <c r="N156" s="1878"/>
      <c r="O156" s="1878"/>
      <c r="P156" s="1878" t="s">
        <v>715</v>
      </c>
      <c r="Q156" s="1880" t="s">
        <v>703</v>
      </c>
      <c r="R156" s="1880" t="s">
        <v>703</v>
      </c>
      <c r="S156" s="1880" t="s">
        <v>703</v>
      </c>
      <c r="T156" s="1880" t="s">
        <v>703</v>
      </c>
      <c r="U156" s="1880" t="s">
        <v>734</v>
      </c>
      <c r="V156" s="1880" t="s">
        <v>735</v>
      </c>
      <c r="W156" s="1880" t="s">
        <v>738</v>
      </c>
      <c r="X156" s="1880" t="s">
        <v>740</v>
      </c>
      <c r="Y156" s="1880" t="s">
        <v>783</v>
      </c>
      <c r="Z156" s="1880" t="s">
        <v>727</v>
      </c>
    </row>
    <row r="157" spans="1:26" x14ac:dyDescent="0.3">
      <c r="A157" s="1870"/>
      <c r="B157" s="1870"/>
      <c r="C157" s="1870"/>
      <c r="D157" s="1870"/>
      <c r="E157" s="1870"/>
      <c r="F157" s="1870"/>
      <c r="G157" s="1870"/>
      <c r="H157" s="1870"/>
      <c r="I157" s="1870"/>
      <c r="J157" s="1870"/>
      <c r="K157" s="1870"/>
      <c r="N157" s="1878"/>
      <c r="O157" s="1878"/>
      <c r="P157" s="1878" t="s">
        <v>260</v>
      </c>
      <c r="Q157" s="1880" t="str">
        <f>U75</f>
        <v xml:space="preserve">   .</v>
      </c>
      <c r="R157" s="1880" t="str">
        <f t="shared" ref="R157:Z157" si="48">Q157</f>
        <v xml:space="preserve">   .</v>
      </c>
      <c r="S157" s="1880" t="str">
        <f t="shared" si="48"/>
        <v xml:space="preserve">   .</v>
      </c>
      <c r="T157" s="1880" t="str">
        <f t="shared" si="48"/>
        <v xml:space="preserve">   .</v>
      </c>
      <c r="U157" s="1880" t="str">
        <f t="shared" si="48"/>
        <v xml:space="preserve">   .</v>
      </c>
      <c r="V157" s="1880" t="str">
        <f t="shared" si="48"/>
        <v xml:space="preserve">   .</v>
      </c>
      <c r="W157" s="1880" t="str">
        <f t="shared" si="48"/>
        <v xml:space="preserve">   .</v>
      </c>
      <c r="X157" s="1880" t="str">
        <f t="shared" si="48"/>
        <v xml:space="preserve">   .</v>
      </c>
      <c r="Y157" s="1880" t="str">
        <f t="shared" si="48"/>
        <v xml:space="preserve">   .</v>
      </c>
      <c r="Z157" s="1880" t="str">
        <f t="shared" si="48"/>
        <v xml:space="preserve">   .</v>
      </c>
    </row>
    <row r="158" spans="1:26" ht="15.6" x14ac:dyDescent="0.3">
      <c r="A158" s="1873"/>
      <c r="B158" s="1873"/>
      <c r="C158" s="1873"/>
      <c r="D158" s="1873"/>
      <c r="E158" s="1873"/>
      <c r="F158" s="1873"/>
      <c r="G158" s="1874"/>
      <c r="H158" s="1874"/>
      <c r="I158" s="1873"/>
      <c r="J158" s="1873"/>
      <c r="K158" s="1873"/>
      <c r="N158" s="739" t="s">
        <v>692</v>
      </c>
      <c r="O158" s="1837"/>
      <c r="P158" s="1837"/>
      <c r="Q158" s="1857" t="str">
        <f>Q$3</f>
        <v>Very Strong</v>
      </c>
      <c r="R158" s="1857" t="str">
        <f t="shared" ref="R158:Z158" si="49">R$3</f>
        <v>Strong</v>
      </c>
      <c r="S158" s="1857" t="str">
        <f t="shared" si="49"/>
        <v>Moderately Strong</v>
      </c>
      <c r="T158" s="1857" t="str">
        <f t="shared" si="49"/>
        <v>Adequate</v>
      </c>
      <c r="U158" s="1857" t="str">
        <f t="shared" si="49"/>
        <v>Moderately Adequate</v>
      </c>
      <c r="V158" s="1857" t="str">
        <f t="shared" si="49"/>
        <v>Moderately Weak</v>
      </c>
      <c r="W158" s="1857" t="str">
        <f t="shared" si="49"/>
        <v>Weak</v>
      </c>
      <c r="X158" s="1857" t="str">
        <f t="shared" si="49"/>
        <v>Very Weak</v>
      </c>
      <c r="Y158" s="1857" t="str">
        <f t="shared" si="49"/>
        <v>DEFICIENT</v>
      </c>
      <c r="Z158" s="1857" t="str">
        <f t="shared" si="49"/>
        <v>Materially Deficient</v>
      </c>
    </row>
    <row r="159" spans="1:26" ht="115.2" x14ac:dyDescent="0.3">
      <c r="A159" s="1907">
        <v>5</v>
      </c>
      <c r="B159" s="1908" t="str">
        <f>B34</f>
        <v>Govt’s Fiscal Affordability</v>
      </c>
      <c r="C159" s="1907"/>
      <c r="D159" s="1907"/>
      <c r="E159" s="1907">
        <f>N161+N162</f>
        <v>0</v>
      </c>
      <c r="F159" s="1907">
        <f>N164</f>
        <v>0</v>
      </c>
      <c r="G159" s="1902">
        <f>G34</f>
        <v>4.33</v>
      </c>
      <c r="H159" s="1903" t="str">
        <f>H34</f>
        <v>Strong</v>
      </c>
      <c r="I159" s="1904" t="s">
        <v>259</v>
      </c>
      <c r="J159" s="1904" t="str">
        <f>HLOOKUP($H159,$Q158:$Z166,2,0)</f>
        <v xml:space="preserve"> The fiscal commitments are within acceptable budget ceilings and their collective impact is fiscally manageable by the government. However,    Please prepare a clear strategy to address it(them).</v>
      </c>
      <c r="K159" s="1907"/>
      <c r="N159" s="1908" t="str">
        <f>H159</f>
        <v>Strong</v>
      </c>
      <c r="O159" s="1907"/>
      <c r="P159" s="1907" t="s">
        <v>698</v>
      </c>
      <c r="Q159" s="1909" t="str">
        <f t="shared" ref="Q159:Z159" si="50">IF($N159=Q$122,CONCATENATE(Q160,Q163,Q164,Q165),"")</f>
        <v/>
      </c>
      <c r="R159" s="1909" t="str">
        <f t="shared" si="50"/>
        <v xml:space="preserve"> The fiscal commitments are within acceptable budget ceilings and their collective impact is fiscally manageable by the government. However,    Please prepare a clear strategy to address it(them).</v>
      </c>
      <c r="S159" s="1909" t="str">
        <f t="shared" si="50"/>
        <v/>
      </c>
      <c r="T159" s="1909" t="str">
        <f t="shared" si="50"/>
        <v/>
      </c>
      <c r="U159" s="1909" t="str">
        <f t="shared" si="50"/>
        <v/>
      </c>
      <c r="V159" s="1909" t="str">
        <f t="shared" si="50"/>
        <v/>
      </c>
      <c r="W159" s="1909" t="str">
        <f t="shared" si="50"/>
        <v/>
      </c>
      <c r="X159" s="1910" t="str">
        <f t="shared" si="50"/>
        <v/>
      </c>
      <c r="Y159" s="1909" t="str">
        <f t="shared" si="50"/>
        <v/>
      </c>
      <c r="Z159" s="1909" t="str">
        <f t="shared" si="50"/>
        <v/>
      </c>
    </row>
    <row r="160" spans="1:26" ht="57.6" x14ac:dyDescent="0.3">
      <c r="A160" s="1904"/>
      <c r="B160" s="1904"/>
      <c r="C160" s="1904"/>
      <c r="D160" s="1904"/>
      <c r="E160" s="1904"/>
      <c r="F160" s="1904"/>
      <c r="G160" s="1904"/>
      <c r="H160" s="1904"/>
      <c r="I160" s="1904" t="s">
        <v>260</v>
      </c>
      <c r="J160" s="1904" t="str">
        <f>HLOOKUP($H159,$Q158:$Z166,9,0)</f>
        <v xml:space="preserve">   .</v>
      </c>
      <c r="K160" s="1904"/>
      <c r="N160" s="1908" t="str">
        <f>B159</f>
        <v>Govt’s Fiscal Affordability</v>
      </c>
      <c r="O160" s="1907"/>
      <c r="P160" s="1907" t="s">
        <v>696</v>
      </c>
      <c r="Q160" s="1911" t="s">
        <v>743</v>
      </c>
      <c r="R160" s="1911" t="s">
        <v>744</v>
      </c>
      <c r="S160" s="1911" t="s">
        <v>745</v>
      </c>
      <c r="T160" s="1911" t="s">
        <v>745</v>
      </c>
      <c r="U160" s="1911" t="s">
        <v>746</v>
      </c>
      <c r="V160" s="1911" t="s">
        <v>747</v>
      </c>
      <c r="W160" s="1911" t="s">
        <v>747</v>
      </c>
      <c r="X160" s="1911" t="s">
        <v>747</v>
      </c>
      <c r="Y160" s="1911" t="s">
        <v>750</v>
      </c>
      <c r="Z160" s="1912" t="s">
        <v>750</v>
      </c>
    </row>
    <row r="161" spans="1:26" ht="20.399999999999999" x14ac:dyDescent="0.3">
      <c r="A161" s="1904"/>
      <c r="B161" s="1904"/>
      <c r="C161" s="1904"/>
      <c r="D161" s="1904"/>
      <c r="E161" s="1904"/>
      <c r="F161" s="1904"/>
      <c r="G161" s="1907"/>
      <c r="H161" s="1907"/>
      <c r="I161" s="1907"/>
      <c r="J161" s="1907"/>
      <c r="K161" s="1904"/>
      <c r="N161" s="1907">
        <f>'Data Analysis'!S267</f>
        <v>0</v>
      </c>
      <c r="O161" s="1907"/>
      <c r="P161" s="1907" t="s">
        <v>699</v>
      </c>
      <c r="Q161" s="1911" t="s">
        <v>708</v>
      </c>
      <c r="R161" s="1911" t="s">
        <v>708</v>
      </c>
      <c r="S161" s="1911" t="s">
        <v>708</v>
      </c>
      <c r="T161" s="1911" t="s">
        <v>708</v>
      </c>
      <c r="U161" s="1911" t="s">
        <v>708</v>
      </c>
      <c r="V161" s="1911" t="s">
        <v>708</v>
      </c>
      <c r="W161" s="1911" t="s">
        <v>708</v>
      </c>
      <c r="X161" s="1911" t="s">
        <v>708</v>
      </c>
      <c r="Y161" s="1911" t="s">
        <v>708</v>
      </c>
      <c r="Z161" s="1911" t="s">
        <v>708</v>
      </c>
    </row>
    <row r="162" spans="1:26" ht="43.2" x14ac:dyDescent="0.3">
      <c r="A162" s="1904"/>
      <c r="B162" s="1904"/>
      <c r="C162" s="1904"/>
      <c r="D162" s="1904"/>
      <c r="E162" s="1904"/>
      <c r="F162" s="1904"/>
      <c r="G162" s="1904"/>
      <c r="H162" s="1904"/>
      <c r="I162" s="1904"/>
      <c r="J162" s="1904"/>
      <c r="K162" s="1904"/>
      <c r="N162" s="1907">
        <f>'Data Analysis'!S268+'Data Analysis'!S269</f>
        <v>0</v>
      </c>
      <c r="O162" s="1907"/>
      <c r="P162" s="1907" t="s">
        <v>700</v>
      </c>
      <c r="Q162" s="1911" t="s">
        <v>707</v>
      </c>
      <c r="R162" s="1911" t="s">
        <v>707</v>
      </c>
      <c r="S162" s="1911" t="s">
        <v>707</v>
      </c>
      <c r="T162" s="1911" t="s">
        <v>707</v>
      </c>
      <c r="U162" s="1911" t="s">
        <v>707</v>
      </c>
      <c r="V162" s="1911" t="s">
        <v>707</v>
      </c>
      <c r="W162" s="1911" t="s">
        <v>707</v>
      </c>
      <c r="X162" s="1911" t="s">
        <v>707</v>
      </c>
      <c r="Y162" s="1911" t="s">
        <v>707</v>
      </c>
      <c r="Z162" s="1911" t="s">
        <v>707</v>
      </c>
    </row>
    <row r="163" spans="1:26" x14ac:dyDescent="0.3">
      <c r="A163" s="1904"/>
      <c r="B163" s="1904"/>
      <c r="C163" s="1904"/>
      <c r="D163" s="1904"/>
      <c r="E163" s="1904"/>
      <c r="F163" s="1904"/>
      <c r="G163" s="1904"/>
      <c r="H163" s="1904"/>
      <c r="I163" s="1904"/>
      <c r="J163" s="1904"/>
      <c r="K163" s="1904"/>
      <c r="N163" s="1907"/>
      <c r="O163" s="1907"/>
      <c r="P163" s="1907" t="s">
        <v>697</v>
      </c>
      <c r="Q163" s="1913" t="str">
        <f>IF($N159=Q$122,IF(OR($N161&gt;0,$N162&gt;0),CONCATENATE(" potential Deal Breaker Conditions have been ",IF($N161&gt;0,"triggered"," skipped or marked uncertain"),IF($N164&lt;=0,"."," and ")),"  "),"  ")</f>
        <v xml:space="preserve">  </v>
      </c>
      <c r="R163" s="1913" t="str">
        <f t="shared" ref="R163:Z163" si="51">IF($N159=R$122,IF(OR($N161&gt;0,$N162&gt;0),CONCATENATE(" potential Deal Breaker Conditions have been ",IF($N161&gt;0,"triggered"," skipped or marked uncertain"),IF($N164&lt;=0,"."," and ")),"  "),"  ")</f>
        <v xml:space="preserve">  </v>
      </c>
      <c r="S163" s="1913" t="str">
        <f t="shared" si="51"/>
        <v xml:space="preserve">  </v>
      </c>
      <c r="T163" s="1913" t="str">
        <f t="shared" si="51"/>
        <v xml:space="preserve">  </v>
      </c>
      <c r="U163" s="1913" t="str">
        <f t="shared" si="51"/>
        <v xml:space="preserve">  </v>
      </c>
      <c r="V163" s="1913" t="str">
        <f t="shared" si="51"/>
        <v xml:space="preserve">  </v>
      </c>
      <c r="W163" s="1913" t="str">
        <f t="shared" si="51"/>
        <v xml:space="preserve">  </v>
      </c>
      <c r="X163" s="1913" t="str">
        <f t="shared" si="51"/>
        <v xml:space="preserve">  </v>
      </c>
      <c r="Y163" s="1913" t="str">
        <f t="shared" si="51"/>
        <v xml:space="preserve">  </v>
      </c>
      <c r="Z163" s="1913" t="str">
        <f t="shared" si="51"/>
        <v xml:space="preserve">  </v>
      </c>
    </row>
    <row r="164" spans="1:26" x14ac:dyDescent="0.3">
      <c r="A164" s="1904"/>
      <c r="B164" s="1904"/>
      <c r="C164" s="1904"/>
      <c r="D164" s="1904"/>
      <c r="E164" s="1904"/>
      <c r="F164" s="1904"/>
      <c r="G164" s="1904"/>
      <c r="H164" s="1904"/>
      <c r="I164" s="1904"/>
      <c r="J164" s="1904"/>
      <c r="K164" s="1904"/>
      <c r="N164" s="1907">
        <f>V78</f>
        <v>0</v>
      </c>
      <c r="O164" s="1907"/>
      <c r="P164" s="1907" t="s">
        <v>702</v>
      </c>
      <c r="Q164" s="1911" t="str">
        <f t="shared" ref="Q164:Z164" si="52">IF($N164&gt;0,"significant weakness(es) have been identified. ","")</f>
        <v/>
      </c>
      <c r="R164" s="1911" t="str">
        <f t="shared" si="52"/>
        <v/>
      </c>
      <c r="S164" s="1911" t="str">
        <f t="shared" si="52"/>
        <v/>
      </c>
      <c r="T164" s="1911" t="str">
        <f t="shared" si="52"/>
        <v/>
      </c>
      <c r="U164" s="1911" t="str">
        <f t="shared" si="52"/>
        <v/>
      </c>
      <c r="V164" s="1911" t="str">
        <f t="shared" si="52"/>
        <v/>
      </c>
      <c r="W164" s="1911" t="str">
        <f t="shared" si="52"/>
        <v/>
      </c>
      <c r="X164" s="1911" t="str">
        <f t="shared" si="52"/>
        <v/>
      </c>
      <c r="Y164" s="1911" t="str">
        <f t="shared" si="52"/>
        <v/>
      </c>
      <c r="Z164" s="1911" t="str">
        <f t="shared" si="52"/>
        <v/>
      </c>
    </row>
    <row r="165" spans="1:26" ht="61.2" x14ac:dyDescent="0.3">
      <c r="A165" s="1904"/>
      <c r="B165" s="1904"/>
      <c r="C165" s="1904"/>
      <c r="D165" s="1904"/>
      <c r="E165" s="1904"/>
      <c r="F165" s="1904"/>
      <c r="G165" s="1904"/>
      <c r="H165" s="1904"/>
      <c r="I165" s="1904"/>
      <c r="J165" s="1904"/>
      <c r="K165" s="1904"/>
      <c r="N165" s="1907"/>
      <c r="O165" s="1907"/>
      <c r="P165" s="1907" t="s">
        <v>715</v>
      </c>
      <c r="Q165" s="1911" t="s">
        <v>703</v>
      </c>
      <c r="R165" s="1911" t="s">
        <v>703</v>
      </c>
      <c r="S165" s="1911" t="s">
        <v>703</v>
      </c>
      <c r="T165" s="1911" t="s">
        <v>703</v>
      </c>
      <c r="U165" s="1911" t="s">
        <v>734</v>
      </c>
      <c r="V165" s="1911" t="s">
        <v>748</v>
      </c>
      <c r="W165" s="1911" t="s">
        <v>749</v>
      </c>
      <c r="X165" s="1911" t="s">
        <v>749</v>
      </c>
      <c r="Y165" s="1911" t="s">
        <v>742</v>
      </c>
      <c r="Z165" s="1911" t="s">
        <v>751</v>
      </c>
    </row>
    <row r="166" spans="1:26" x14ac:dyDescent="0.3">
      <c r="A166" s="1904"/>
      <c r="B166" s="1904"/>
      <c r="C166" s="1904"/>
      <c r="D166" s="1904"/>
      <c r="E166" s="1904"/>
      <c r="F166" s="1904"/>
      <c r="G166" s="1904"/>
      <c r="H166" s="1904"/>
      <c r="I166" s="1904"/>
      <c r="J166" s="1904"/>
      <c r="K166" s="1904"/>
      <c r="N166" s="1907"/>
      <c r="O166" s="1907"/>
      <c r="P166" s="1907" t="s">
        <v>260</v>
      </c>
      <c r="Q166" s="1911" t="str">
        <f>U78</f>
        <v xml:space="preserve">   .</v>
      </c>
      <c r="R166" s="1911" t="str">
        <f t="shared" ref="R166:Z166" si="53">Q166</f>
        <v xml:space="preserve">   .</v>
      </c>
      <c r="S166" s="1911" t="str">
        <f t="shared" si="53"/>
        <v xml:space="preserve">   .</v>
      </c>
      <c r="T166" s="1911" t="str">
        <f t="shared" si="53"/>
        <v xml:space="preserve">   .</v>
      </c>
      <c r="U166" s="1911" t="str">
        <f t="shared" si="53"/>
        <v xml:space="preserve">   .</v>
      </c>
      <c r="V166" s="1911" t="str">
        <f t="shared" si="53"/>
        <v xml:space="preserve">   .</v>
      </c>
      <c r="W166" s="1911" t="str">
        <f t="shared" si="53"/>
        <v xml:space="preserve">   .</v>
      </c>
      <c r="X166" s="1911" t="str">
        <f t="shared" si="53"/>
        <v xml:space="preserve">   .</v>
      </c>
      <c r="Y166" s="1911" t="str">
        <f t="shared" si="53"/>
        <v xml:space="preserve">   .</v>
      </c>
      <c r="Z166" s="1911" t="str">
        <f t="shared" si="53"/>
        <v xml:space="preserve">   .</v>
      </c>
    </row>
    <row r="167" spans="1:26" ht="15.6" x14ac:dyDescent="0.3">
      <c r="A167" s="1873"/>
      <c r="B167" s="1873"/>
      <c r="C167" s="1873"/>
      <c r="D167" s="1873"/>
      <c r="E167" s="1873"/>
      <c r="F167" s="1873"/>
      <c r="G167" s="1874"/>
      <c r="H167" s="1874"/>
      <c r="I167" s="1873"/>
      <c r="J167" s="1873"/>
      <c r="K167" s="1873"/>
      <c r="N167" s="739" t="s">
        <v>692</v>
      </c>
      <c r="O167" s="1837"/>
      <c r="P167" s="1837"/>
      <c r="Q167" s="1857" t="str">
        <f>Q$3</f>
        <v>Very Strong</v>
      </c>
      <c r="R167" s="1857" t="str">
        <f t="shared" ref="R167:Z167" si="54">R$3</f>
        <v>Strong</v>
      </c>
      <c r="S167" s="1857" t="str">
        <f t="shared" si="54"/>
        <v>Moderately Strong</v>
      </c>
      <c r="T167" s="1857" t="str">
        <f t="shared" si="54"/>
        <v>Adequate</v>
      </c>
      <c r="U167" s="1857" t="str">
        <f t="shared" si="54"/>
        <v>Moderately Adequate</v>
      </c>
      <c r="V167" s="1857" t="str">
        <f t="shared" si="54"/>
        <v>Moderately Weak</v>
      </c>
      <c r="W167" s="1857" t="str">
        <f t="shared" si="54"/>
        <v>Weak</v>
      </c>
      <c r="X167" s="1857" t="str">
        <f t="shared" si="54"/>
        <v>Very Weak</v>
      </c>
      <c r="Y167" s="1857" t="str">
        <f t="shared" si="54"/>
        <v>DEFICIENT</v>
      </c>
      <c r="Z167" s="1857" t="str">
        <f t="shared" si="54"/>
        <v>Materially Deficient</v>
      </c>
    </row>
    <row r="168" spans="1:26" ht="129.6" x14ac:dyDescent="0.3">
      <c r="A168" s="1914">
        <v>6</v>
      </c>
      <c r="B168" s="1835" t="str">
        <f>B38</f>
        <v>Govt’s institutional Capability</v>
      </c>
      <c r="C168" s="1914"/>
      <c r="D168" s="1914"/>
      <c r="E168" s="1914">
        <f>N170+N171</f>
        <v>0</v>
      </c>
      <c r="F168" s="1914">
        <f>N173</f>
        <v>0</v>
      </c>
      <c r="G168" s="1915">
        <f>G38</f>
        <v>5</v>
      </c>
      <c r="H168" s="1916" t="str">
        <f>H38</f>
        <v>Very Strong</v>
      </c>
      <c r="I168" s="1917" t="s">
        <v>259</v>
      </c>
      <c r="J168" s="1917" t="str">
        <f>HLOOKUP($H168,$Q167:$Z175,2,0)</f>
        <v>The Contracting Agency has an implementable plan for developing the project . And they have very strong capabilities and dedicated experienced personnel to manage the PPP. However,    Please prepare a clear strategy to address it(them).</v>
      </c>
      <c r="K168" s="1914"/>
      <c r="N168" s="1835" t="str">
        <f>H168</f>
        <v>Very Strong</v>
      </c>
      <c r="O168" s="1914"/>
      <c r="P168" s="1914" t="s">
        <v>698</v>
      </c>
      <c r="Q168" s="1918" t="str">
        <f t="shared" ref="Q168:Z168" si="55">IF($N168=Q$122,CONCATENATE(Q169,Q172,Q173,Q174),"")</f>
        <v>The Contracting Agency has an implementable plan for developing the project . And they have very strong capabilities and dedicated experienced personnel to manage the PPP. However,    Please prepare a clear strategy to address it(them).</v>
      </c>
      <c r="R168" s="1918" t="str">
        <f t="shared" si="55"/>
        <v/>
      </c>
      <c r="S168" s="1918" t="str">
        <f t="shared" si="55"/>
        <v/>
      </c>
      <c r="T168" s="1918" t="str">
        <f t="shared" si="55"/>
        <v/>
      </c>
      <c r="U168" s="1918" t="str">
        <f t="shared" si="55"/>
        <v/>
      </c>
      <c r="V168" s="1918" t="str">
        <f t="shared" si="55"/>
        <v/>
      </c>
      <c r="W168" s="1918" t="str">
        <f t="shared" si="55"/>
        <v/>
      </c>
      <c r="X168" s="1919" t="str">
        <f t="shared" si="55"/>
        <v/>
      </c>
      <c r="Y168" s="1918" t="str">
        <f t="shared" si="55"/>
        <v/>
      </c>
      <c r="Z168" s="1918" t="str">
        <f t="shared" si="55"/>
        <v/>
      </c>
    </row>
    <row r="169" spans="1:26" ht="72" x14ac:dyDescent="0.3">
      <c r="A169" s="1917"/>
      <c r="B169" s="1917"/>
      <c r="C169" s="1917"/>
      <c r="D169" s="1917"/>
      <c r="E169" s="1917"/>
      <c r="F169" s="1917"/>
      <c r="G169" s="1917"/>
      <c r="H169" s="1917"/>
      <c r="I169" s="1917" t="s">
        <v>260</v>
      </c>
      <c r="J169" s="1917" t="str">
        <f>HLOOKUP($H168,$Q167:$Z175,9,0)</f>
        <v xml:space="preserve">      .</v>
      </c>
      <c r="K169" s="1917"/>
      <c r="N169" s="1835" t="str">
        <f>B168</f>
        <v>Govt’s institutional Capability</v>
      </c>
      <c r="O169" s="1914"/>
      <c r="P169" s="1914" t="s">
        <v>696</v>
      </c>
      <c r="Q169" s="1920" t="s">
        <v>752</v>
      </c>
      <c r="R169" s="1920" t="s">
        <v>753</v>
      </c>
      <c r="S169" s="1920" t="s">
        <v>754</v>
      </c>
      <c r="T169" s="1920" t="s">
        <v>755</v>
      </c>
      <c r="U169" s="1920" t="s">
        <v>755</v>
      </c>
      <c r="V169" s="1920" t="s">
        <v>756</v>
      </c>
      <c r="W169" s="1920" t="s">
        <v>756</v>
      </c>
      <c r="X169" s="1920" t="s">
        <v>756</v>
      </c>
      <c r="Y169" s="1920" t="s">
        <v>759</v>
      </c>
      <c r="Z169" s="1921" t="s">
        <v>759</v>
      </c>
    </row>
    <row r="170" spans="1:26" ht="20.399999999999999" x14ac:dyDescent="0.3">
      <c r="A170" s="1917"/>
      <c r="B170" s="1917"/>
      <c r="C170" s="1917"/>
      <c r="D170" s="1917"/>
      <c r="E170" s="1917"/>
      <c r="F170" s="1917"/>
      <c r="G170" s="1914"/>
      <c r="H170" s="1914"/>
      <c r="I170" s="1914"/>
      <c r="J170" s="1914"/>
      <c r="K170" s="1917"/>
      <c r="N170" s="1914">
        <f>'Data Analysis'!T267</f>
        <v>0</v>
      </c>
      <c r="O170" s="1914"/>
      <c r="P170" s="1914" t="s">
        <v>699</v>
      </c>
      <c r="Q170" s="1920" t="s">
        <v>708</v>
      </c>
      <c r="R170" s="1920" t="s">
        <v>708</v>
      </c>
      <c r="S170" s="1920" t="s">
        <v>708</v>
      </c>
      <c r="T170" s="1920" t="s">
        <v>708</v>
      </c>
      <c r="U170" s="1920" t="s">
        <v>708</v>
      </c>
      <c r="V170" s="1920" t="s">
        <v>708</v>
      </c>
      <c r="W170" s="1920" t="s">
        <v>708</v>
      </c>
      <c r="X170" s="1920" t="s">
        <v>708</v>
      </c>
      <c r="Y170" s="1920" t="s">
        <v>708</v>
      </c>
      <c r="Z170" s="1920" t="s">
        <v>708</v>
      </c>
    </row>
    <row r="171" spans="1:26" ht="43.2" x14ac:dyDescent="0.3">
      <c r="A171" s="1917"/>
      <c r="B171" s="1917"/>
      <c r="C171" s="1917"/>
      <c r="D171" s="1917"/>
      <c r="E171" s="1917"/>
      <c r="F171" s="1917"/>
      <c r="G171" s="1917"/>
      <c r="H171" s="1917"/>
      <c r="I171" s="1917"/>
      <c r="J171" s="1917"/>
      <c r="K171" s="1917"/>
      <c r="N171" s="1914">
        <f>'Data Analysis'!T268+'Data Analysis'!T269</f>
        <v>0</v>
      </c>
      <c r="O171" s="1914"/>
      <c r="P171" s="1914" t="s">
        <v>700</v>
      </c>
      <c r="Q171" s="1920" t="s">
        <v>707</v>
      </c>
      <c r="R171" s="1920" t="s">
        <v>707</v>
      </c>
      <c r="S171" s="1920" t="s">
        <v>707</v>
      </c>
      <c r="T171" s="1920" t="s">
        <v>707</v>
      </c>
      <c r="U171" s="1920" t="s">
        <v>707</v>
      </c>
      <c r="V171" s="1920" t="s">
        <v>707</v>
      </c>
      <c r="W171" s="1920" t="s">
        <v>707</v>
      </c>
      <c r="X171" s="1920" t="s">
        <v>707</v>
      </c>
      <c r="Y171" s="1920" t="s">
        <v>707</v>
      </c>
      <c r="Z171" s="1920" t="s">
        <v>707</v>
      </c>
    </row>
    <row r="172" spans="1:26" x14ac:dyDescent="0.3">
      <c r="A172" s="1917"/>
      <c r="B172" s="1917"/>
      <c r="C172" s="1917"/>
      <c r="D172" s="1917"/>
      <c r="E172" s="1917"/>
      <c r="F172" s="1917"/>
      <c r="G172" s="1917"/>
      <c r="H172" s="1917"/>
      <c r="I172" s="1917"/>
      <c r="J172" s="1917"/>
      <c r="K172" s="1917"/>
      <c r="N172" s="1914"/>
      <c r="O172" s="1914"/>
      <c r="P172" s="1914" t="s">
        <v>697</v>
      </c>
      <c r="Q172" s="1922" t="str">
        <f>IF($N168=Q$122,IF(OR($N170&gt;0,$N171&gt;0),CONCATENATE(" potential Deal Breaker Conditions have been ",IF($N170&gt;0,"triggered"," skipped or marked uncertain"),IF($N173&lt;=0,"."," and ")),"  "),"  ")</f>
        <v xml:space="preserve">  </v>
      </c>
      <c r="R172" s="1922" t="str">
        <f t="shared" ref="R172:Z172" si="56">IF($N168=R$122,IF(OR($N170&gt;0,$N171&gt;0),CONCATENATE(" potential Deal Breaker Conditions have been ",IF($N170&gt;0,"triggered"," skipped or marked uncertain"),IF($N173&lt;=0,"."," and ")),"  "),"  ")</f>
        <v xml:space="preserve">  </v>
      </c>
      <c r="S172" s="1922" t="str">
        <f t="shared" si="56"/>
        <v xml:space="preserve">  </v>
      </c>
      <c r="T172" s="1922" t="str">
        <f t="shared" si="56"/>
        <v xml:space="preserve">  </v>
      </c>
      <c r="U172" s="1922" t="str">
        <f t="shared" si="56"/>
        <v xml:space="preserve">  </v>
      </c>
      <c r="V172" s="1922" t="str">
        <f t="shared" si="56"/>
        <v xml:space="preserve">  </v>
      </c>
      <c r="W172" s="1922" t="str">
        <f t="shared" si="56"/>
        <v xml:space="preserve">  </v>
      </c>
      <c r="X172" s="1922" t="str">
        <f t="shared" si="56"/>
        <v xml:space="preserve">  </v>
      </c>
      <c r="Y172" s="1922" t="str">
        <f t="shared" si="56"/>
        <v xml:space="preserve">  </v>
      </c>
      <c r="Z172" s="1922" t="str">
        <f t="shared" si="56"/>
        <v xml:space="preserve">  </v>
      </c>
    </row>
    <row r="173" spans="1:26" x14ac:dyDescent="0.3">
      <c r="A173" s="1917"/>
      <c r="B173" s="1917"/>
      <c r="C173" s="1917"/>
      <c r="D173" s="1917"/>
      <c r="E173" s="1917"/>
      <c r="F173" s="1917"/>
      <c r="G173" s="1917"/>
      <c r="H173" s="1917"/>
      <c r="I173" s="1917"/>
      <c r="J173" s="1917"/>
      <c r="K173" s="1917"/>
      <c r="N173" s="1914">
        <f>V81</f>
        <v>0</v>
      </c>
      <c r="O173" s="1914"/>
      <c r="P173" s="1914" t="s">
        <v>702</v>
      </c>
      <c r="Q173" s="1920" t="str">
        <f t="shared" ref="Q173:Z173" si="57">IF($N173&gt;0,"significant weakness(es) have been identified. ","")</f>
        <v/>
      </c>
      <c r="R173" s="1920" t="str">
        <f t="shared" si="57"/>
        <v/>
      </c>
      <c r="S173" s="1920" t="str">
        <f t="shared" si="57"/>
        <v/>
      </c>
      <c r="T173" s="1920" t="str">
        <f t="shared" si="57"/>
        <v/>
      </c>
      <c r="U173" s="1920" t="str">
        <f t="shared" si="57"/>
        <v/>
      </c>
      <c r="V173" s="1920" t="str">
        <f t="shared" si="57"/>
        <v/>
      </c>
      <c r="W173" s="1920" t="str">
        <f t="shared" si="57"/>
        <v/>
      </c>
      <c r="X173" s="1920" t="str">
        <f t="shared" si="57"/>
        <v/>
      </c>
      <c r="Y173" s="1920" t="str">
        <f t="shared" si="57"/>
        <v/>
      </c>
      <c r="Z173" s="1920" t="str">
        <f t="shared" si="57"/>
        <v/>
      </c>
    </row>
    <row r="174" spans="1:26" ht="91.8" x14ac:dyDescent="0.3">
      <c r="A174" s="1917"/>
      <c r="B174" s="1917"/>
      <c r="C174" s="1917"/>
      <c r="D174" s="1917"/>
      <c r="E174" s="1917"/>
      <c r="F174" s="1917"/>
      <c r="G174" s="1917"/>
      <c r="H174" s="1917"/>
      <c r="I174" s="1917"/>
      <c r="J174" s="1917"/>
      <c r="K174" s="1917"/>
      <c r="N174" s="1914"/>
      <c r="O174" s="1914"/>
      <c r="P174" s="1914" t="s">
        <v>715</v>
      </c>
      <c r="Q174" s="1920" t="s">
        <v>703</v>
      </c>
      <c r="R174" s="1920" t="s">
        <v>703</v>
      </c>
      <c r="S174" s="1920" t="s">
        <v>703</v>
      </c>
      <c r="T174" s="1920" t="s">
        <v>703</v>
      </c>
      <c r="U174" s="1920" t="s">
        <v>703</v>
      </c>
      <c r="V174" s="1920" t="s">
        <v>748</v>
      </c>
      <c r="W174" s="1920" t="s">
        <v>757</v>
      </c>
      <c r="X174" s="1920" t="s">
        <v>758</v>
      </c>
      <c r="Y174" s="1920" t="s">
        <v>761</v>
      </c>
      <c r="Z174" s="1920" t="s">
        <v>760</v>
      </c>
    </row>
    <row r="175" spans="1:26" x14ac:dyDescent="0.3">
      <c r="A175" s="1917"/>
      <c r="B175" s="1917"/>
      <c r="C175" s="1917"/>
      <c r="D175" s="1917"/>
      <c r="E175" s="1917"/>
      <c r="F175" s="1917"/>
      <c r="G175" s="1917"/>
      <c r="H175" s="1917"/>
      <c r="I175" s="1917"/>
      <c r="J175" s="1917"/>
      <c r="K175" s="1917"/>
      <c r="N175" s="1914"/>
      <c r="O175" s="1914"/>
      <c r="P175" s="1914" t="s">
        <v>260</v>
      </c>
      <c r="Q175" s="1920" t="str">
        <f>U81</f>
        <v xml:space="preserve">      .</v>
      </c>
      <c r="R175" s="1920" t="str">
        <f t="shared" ref="R175:Z175" si="58">Q175</f>
        <v xml:space="preserve">      .</v>
      </c>
      <c r="S175" s="1920" t="str">
        <f t="shared" si="58"/>
        <v xml:space="preserve">      .</v>
      </c>
      <c r="T175" s="1920" t="str">
        <f t="shared" si="58"/>
        <v xml:space="preserve">      .</v>
      </c>
      <c r="U175" s="1920" t="str">
        <f t="shared" si="58"/>
        <v xml:space="preserve">      .</v>
      </c>
      <c r="V175" s="1920" t="str">
        <f t="shared" si="58"/>
        <v xml:space="preserve">      .</v>
      </c>
      <c r="W175" s="1920" t="str">
        <f t="shared" si="58"/>
        <v xml:space="preserve">      .</v>
      </c>
      <c r="X175" s="1920" t="str">
        <f t="shared" si="58"/>
        <v xml:space="preserve">      .</v>
      </c>
      <c r="Y175" s="1920" t="str">
        <f t="shared" si="58"/>
        <v xml:space="preserve">      .</v>
      </c>
      <c r="Z175" s="1920" t="str">
        <f t="shared" si="58"/>
        <v xml:space="preserve">      .</v>
      </c>
    </row>
  </sheetData>
  <sheetProtection password="DA20" sheet="1" objects="1" scenarios="1"/>
  <dataConsolidate/>
  <mergeCells count="13">
    <mergeCell ref="AC13:AE13"/>
    <mergeCell ref="N4:O4"/>
    <mergeCell ref="B38:D38"/>
    <mergeCell ref="A1:D1"/>
    <mergeCell ref="B3:D3"/>
    <mergeCell ref="B4:D4"/>
    <mergeCell ref="B10:D10"/>
    <mergeCell ref="B19:D19"/>
    <mergeCell ref="B34:D34"/>
    <mergeCell ref="B29:D29"/>
    <mergeCell ref="N10:O10"/>
    <mergeCell ref="N11:O11"/>
    <mergeCell ref="N12:O12"/>
  </mergeCells>
  <conditionalFormatting sqref="AE19">
    <cfRule type="expression" dxfId="1" priority="1">
      <formula>$C$59&gt;0</formula>
    </cfRule>
  </conditionalFormatting>
  <conditionalFormatting sqref="AE18">
    <cfRule type="expression" dxfId="0" priority="694">
      <formula>#REF!&gt;0</formula>
    </cfRule>
  </conditionalFormatting>
  <hyperlinks>
    <hyperlink ref="B4" location="'1.Suitability'!A1" display="'1.Suitability'!A1" xr:uid="{00000000-0004-0000-0D00-000000000000}"/>
    <hyperlink ref="B10" location="'2.Feasibility'!A1" display="'2.Feasibility'!A1" xr:uid="{00000000-0004-0000-0D00-000001000000}"/>
    <hyperlink ref="B19" location="'3.PPP Ability'!A1" display="'3.PPP Ability'!A1" xr:uid="{00000000-0004-0000-0D00-000002000000}"/>
    <hyperlink ref="B34" location="'4.Fiscal Affordability'!A1" display="'4.Fiscal Affordability'!A1" xr:uid="{00000000-0004-0000-0D00-000003000000}"/>
    <hyperlink ref="B38" location="'5.Institutional Ability'!A1" display="'5.Institutional Ability'!A1" xr:uid="{00000000-0004-0000-0D00-000004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rgb="FFC00000"/>
  </sheetPr>
  <dimension ref="A1:BZ221"/>
  <sheetViews>
    <sheetView zoomScale="70" zoomScaleNormal="70" workbookViewId="0">
      <selection activeCell="H5" sqref="H5"/>
    </sheetView>
  </sheetViews>
  <sheetFormatPr defaultColWidth="9.21875" defaultRowHeight="14.4" x14ac:dyDescent="0.3"/>
  <cols>
    <col min="1" max="1" width="9.21875" style="441"/>
    <col min="2" max="2" width="14.5546875" style="441" bestFit="1" customWidth="1"/>
    <col min="3" max="3" width="7.77734375" style="441" customWidth="1"/>
    <col min="4" max="4" width="5.44140625" style="441" customWidth="1"/>
    <col min="5" max="5" width="5.77734375" style="441" customWidth="1"/>
    <col min="6" max="6" width="35.44140625" style="441" customWidth="1"/>
    <col min="7" max="7" width="11.5546875" style="441" customWidth="1"/>
    <col min="8" max="8" width="82.44140625" style="441" customWidth="1"/>
    <col min="9" max="9" width="10" style="441" customWidth="1"/>
    <col min="10" max="10" width="3.44140625" style="441" customWidth="1"/>
    <col min="11" max="12" width="9.21875" style="705"/>
    <col min="13" max="57" width="9.21875" style="705" customWidth="1"/>
    <col min="58" max="58" width="13.5546875" style="705" customWidth="1"/>
    <col min="59" max="59" width="12.5546875" style="705" customWidth="1"/>
    <col min="60" max="63" width="10" style="705" customWidth="1"/>
    <col min="64" max="64" width="11.5546875" style="705" customWidth="1"/>
    <col min="65" max="16384" width="9.21875" style="705"/>
  </cols>
  <sheetData>
    <row r="1" spans="1:10" s="556" customFormat="1" x14ac:dyDescent="0.3">
      <c r="A1" s="440"/>
      <c r="B1" s="440"/>
      <c r="C1" s="440"/>
      <c r="D1" s="440"/>
      <c r="E1" s="440"/>
      <c r="F1" s="440"/>
      <c r="G1" s="440"/>
      <c r="H1" s="440"/>
      <c r="I1" s="440"/>
      <c r="J1" s="706"/>
    </row>
    <row r="2" spans="1:10" s="556" customFormat="1" ht="72.599999999999994" thickBot="1" x14ac:dyDescent="0.35">
      <c r="A2" s="635" t="s">
        <v>31</v>
      </c>
      <c r="B2" s="635" t="s">
        <v>0</v>
      </c>
      <c r="C2" s="635" t="s">
        <v>322</v>
      </c>
      <c r="D2" s="635" t="s">
        <v>323</v>
      </c>
      <c r="E2" s="635" t="s">
        <v>324</v>
      </c>
      <c r="F2" s="635" t="s">
        <v>245</v>
      </c>
      <c r="G2" s="635" t="s">
        <v>325</v>
      </c>
      <c r="H2" s="635" t="s">
        <v>326</v>
      </c>
      <c r="I2" s="440"/>
      <c r="J2" s="706"/>
    </row>
    <row r="3" spans="1:10" s="556" customFormat="1" ht="45" customHeight="1" x14ac:dyDescent="0.3">
      <c r="A3" s="2547" t="s">
        <v>44</v>
      </c>
      <c r="B3" s="2547" t="s">
        <v>327</v>
      </c>
      <c r="C3" s="688" t="str">
        <f t="shared" ref="C3:C64" si="0">CONCATENATE(D3,E3,G3)</f>
        <v>SA1</v>
      </c>
      <c r="D3" s="688" t="s">
        <v>139</v>
      </c>
      <c r="E3" s="688" t="s">
        <v>33</v>
      </c>
      <c r="F3" s="688" t="s">
        <v>62</v>
      </c>
      <c r="G3" s="688">
        <v>1</v>
      </c>
      <c r="H3" s="1625" t="s">
        <v>922</v>
      </c>
      <c r="I3" s="440"/>
      <c r="J3" s="706"/>
    </row>
    <row r="4" spans="1:10" s="556" customFormat="1" ht="28.8" x14ac:dyDescent="0.3">
      <c r="A4" s="2548"/>
      <c r="B4" s="2548"/>
      <c r="C4" s="637" t="str">
        <f t="shared" si="0"/>
        <v>SA2</v>
      </c>
      <c r="D4" s="637" t="s">
        <v>139</v>
      </c>
      <c r="E4" s="637" t="s">
        <v>33</v>
      </c>
      <c r="F4" s="637" t="s">
        <v>62</v>
      </c>
      <c r="G4" s="637">
        <f>G3+1</f>
        <v>2</v>
      </c>
      <c r="H4" s="689" t="s">
        <v>923</v>
      </c>
      <c r="I4" s="440"/>
      <c r="J4" s="706"/>
    </row>
    <row r="5" spans="1:10" s="556" customFormat="1" ht="28.8" x14ac:dyDescent="0.3">
      <c r="A5" s="2548"/>
      <c r="B5" s="2548"/>
      <c r="C5" s="637" t="str">
        <f t="shared" si="0"/>
        <v>SA3</v>
      </c>
      <c r="D5" s="637" t="s">
        <v>139</v>
      </c>
      <c r="E5" s="637" t="s">
        <v>33</v>
      </c>
      <c r="F5" s="637" t="s">
        <v>62</v>
      </c>
      <c r="G5" s="637">
        <f>G4+1</f>
        <v>3</v>
      </c>
      <c r="H5" s="689" t="s">
        <v>924</v>
      </c>
      <c r="I5" s="440"/>
      <c r="J5" s="706"/>
    </row>
    <row r="6" spans="1:10" s="556" customFormat="1" x14ac:dyDescent="0.3">
      <c r="A6" s="2548"/>
      <c r="B6" s="2548"/>
      <c r="C6" s="637" t="str">
        <f t="shared" si="0"/>
        <v>SB1</v>
      </c>
      <c r="D6" s="637" t="s">
        <v>139</v>
      </c>
      <c r="E6" s="637" t="s">
        <v>35</v>
      </c>
      <c r="F6" s="637" t="s">
        <v>57</v>
      </c>
      <c r="G6" s="637">
        <v>1</v>
      </c>
      <c r="H6" s="690" t="s">
        <v>925</v>
      </c>
      <c r="I6" s="440"/>
      <c r="J6" s="706"/>
    </row>
    <row r="7" spans="1:10" s="556" customFormat="1" x14ac:dyDescent="0.3">
      <c r="A7" s="2548"/>
      <c r="B7" s="2548"/>
      <c r="C7" s="637" t="str">
        <f t="shared" si="0"/>
        <v>SB2</v>
      </c>
      <c r="D7" s="637" t="s">
        <v>139</v>
      </c>
      <c r="E7" s="637" t="s">
        <v>35</v>
      </c>
      <c r="F7" s="637" t="s">
        <v>57</v>
      </c>
      <c r="G7" s="637">
        <f t="shared" ref="G7:G65" si="1">G6+1</f>
        <v>2</v>
      </c>
      <c r="H7" s="691" t="s">
        <v>926</v>
      </c>
      <c r="I7" s="440"/>
      <c r="J7" s="706"/>
    </row>
    <row r="8" spans="1:10" s="556" customFormat="1" x14ac:dyDescent="0.3">
      <c r="A8" s="2548"/>
      <c r="B8" s="2548"/>
      <c r="C8" s="637" t="str">
        <f t="shared" si="0"/>
        <v>SB3</v>
      </c>
      <c r="D8" s="637" t="s">
        <v>139</v>
      </c>
      <c r="E8" s="637" t="s">
        <v>35</v>
      </c>
      <c r="F8" s="637" t="s">
        <v>57</v>
      </c>
      <c r="G8" s="637">
        <f t="shared" si="1"/>
        <v>3</v>
      </c>
      <c r="H8" s="691" t="s">
        <v>793</v>
      </c>
      <c r="I8" s="440"/>
      <c r="J8" s="706"/>
    </row>
    <row r="9" spans="1:10" s="556" customFormat="1" x14ac:dyDescent="0.3">
      <c r="A9" s="2548"/>
      <c r="B9" s="2548"/>
      <c r="C9" s="637" t="str">
        <f t="shared" si="0"/>
        <v>SC1</v>
      </c>
      <c r="D9" s="637" t="s">
        <v>139</v>
      </c>
      <c r="E9" s="637" t="s">
        <v>36</v>
      </c>
      <c r="F9" s="637" t="s">
        <v>58</v>
      </c>
      <c r="G9" s="637">
        <v>1</v>
      </c>
      <c r="H9" s="692" t="s">
        <v>93</v>
      </c>
      <c r="I9" s="440"/>
      <c r="J9" s="706"/>
    </row>
    <row r="10" spans="1:10" s="556" customFormat="1" ht="28.8" x14ac:dyDescent="0.3">
      <c r="A10" s="2548"/>
      <c r="B10" s="2548"/>
      <c r="C10" s="637" t="str">
        <f t="shared" si="0"/>
        <v>SC2</v>
      </c>
      <c r="D10" s="637" t="s">
        <v>139</v>
      </c>
      <c r="E10" s="637" t="s">
        <v>36</v>
      </c>
      <c r="F10" s="637" t="s">
        <v>58</v>
      </c>
      <c r="G10" s="637">
        <f t="shared" si="1"/>
        <v>2</v>
      </c>
      <c r="H10" s="693" t="s">
        <v>794</v>
      </c>
      <c r="I10" s="440"/>
      <c r="J10" s="706"/>
    </row>
    <row r="11" spans="1:10" s="556" customFormat="1" x14ac:dyDescent="0.3">
      <c r="A11" s="2548"/>
      <c r="B11" s="2548"/>
      <c r="C11" s="637" t="str">
        <f t="shared" si="0"/>
        <v>SD1</v>
      </c>
      <c r="D11" s="637" t="s">
        <v>139</v>
      </c>
      <c r="E11" s="637" t="s">
        <v>37</v>
      </c>
      <c r="F11" s="637" t="s">
        <v>59</v>
      </c>
      <c r="G11" s="637">
        <v>1</v>
      </c>
      <c r="H11" s="691" t="s">
        <v>795</v>
      </c>
      <c r="I11" s="440"/>
      <c r="J11" s="706"/>
    </row>
    <row r="12" spans="1:10" s="556" customFormat="1" x14ac:dyDescent="0.3">
      <c r="A12" s="2548"/>
      <c r="B12" s="2548"/>
      <c r="C12" s="637" t="str">
        <f t="shared" si="0"/>
        <v>SD2</v>
      </c>
      <c r="D12" s="637" t="s">
        <v>139</v>
      </c>
      <c r="E12" s="637" t="s">
        <v>37</v>
      </c>
      <c r="F12" s="637" t="s">
        <v>59</v>
      </c>
      <c r="G12" s="637">
        <f t="shared" si="1"/>
        <v>2</v>
      </c>
      <c r="H12" s="691" t="s">
        <v>927</v>
      </c>
      <c r="I12" s="440"/>
      <c r="J12" s="706"/>
    </row>
    <row r="13" spans="1:10" s="556" customFormat="1" x14ac:dyDescent="0.3">
      <c r="A13" s="2548"/>
      <c r="B13" s="2548"/>
      <c r="C13" s="637" t="str">
        <f t="shared" si="0"/>
        <v>SD3</v>
      </c>
      <c r="D13" s="637" t="s">
        <v>139</v>
      </c>
      <c r="E13" s="637" t="s">
        <v>37</v>
      </c>
      <c r="F13" s="637" t="s">
        <v>59</v>
      </c>
      <c r="G13" s="637">
        <f t="shared" si="1"/>
        <v>3</v>
      </c>
      <c r="H13" s="691" t="s">
        <v>52</v>
      </c>
      <c r="I13" s="440"/>
      <c r="J13" s="706"/>
    </row>
    <row r="14" spans="1:10" s="556" customFormat="1" ht="15" thickBot="1" x14ac:dyDescent="0.35">
      <c r="A14" s="2549"/>
      <c r="B14" s="2549"/>
      <c r="C14" s="694" t="str">
        <f t="shared" si="0"/>
        <v>SD4</v>
      </c>
      <c r="D14" s="694" t="s">
        <v>139</v>
      </c>
      <c r="E14" s="694" t="s">
        <v>37</v>
      </c>
      <c r="F14" s="694" t="s">
        <v>59</v>
      </c>
      <c r="G14" s="694">
        <f t="shared" si="1"/>
        <v>4</v>
      </c>
      <c r="H14" s="695" t="s">
        <v>53</v>
      </c>
      <c r="I14" s="440"/>
      <c r="J14" s="706"/>
    </row>
    <row r="15" spans="1:10" s="556" customFormat="1" ht="15" customHeight="1" x14ac:dyDescent="0.3">
      <c r="A15" s="2550" t="s">
        <v>175</v>
      </c>
      <c r="B15" s="2553" t="s">
        <v>328</v>
      </c>
      <c r="C15" s="676" t="str">
        <f t="shared" si="0"/>
        <v>FA1</v>
      </c>
      <c r="D15" s="676" t="s">
        <v>41</v>
      </c>
      <c r="E15" s="676" t="s">
        <v>33</v>
      </c>
      <c r="F15" s="676" t="s">
        <v>38</v>
      </c>
      <c r="G15" s="676">
        <v>1</v>
      </c>
      <c r="H15" s="1950" t="s">
        <v>803</v>
      </c>
      <c r="I15" s="440"/>
      <c r="J15" s="706"/>
    </row>
    <row r="16" spans="1:10" s="556" customFormat="1" ht="15" customHeight="1" x14ac:dyDescent="0.3">
      <c r="A16" s="2551"/>
      <c r="B16" s="2554"/>
      <c r="C16" s="636" t="str">
        <f t="shared" si="0"/>
        <v>FA2</v>
      </c>
      <c r="D16" s="636" t="s">
        <v>41</v>
      </c>
      <c r="E16" s="636" t="s">
        <v>33</v>
      </c>
      <c r="F16" s="636" t="s">
        <v>38</v>
      </c>
      <c r="G16" s="636">
        <f t="shared" si="1"/>
        <v>2</v>
      </c>
      <c r="H16" s="677" t="s">
        <v>97</v>
      </c>
      <c r="I16" s="440"/>
      <c r="J16" s="706"/>
    </row>
    <row r="17" spans="1:23" s="556" customFormat="1" x14ac:dyDescent="0.3">
      <c r="A17" s="2551"/>
      <c r="B17" s="2554"/>
      <c r="C17" s="636" t="str">
        <f t="shared" si="0"/>
        <v>FA3</v>
      </c>
      <c r="D17" s="636" t="s">
        <v>41</v>
      </c>
      <c r="E17" s="636" t="s">
        <v>33</v>
      </c>
      <c r="F17" s="636" t="s">
        <v>38</v>
      </c>
      <c r="G17" s="636">
        <f t="shared" si="1"/>
        <v>3</v>
      </c>
      <c r="H17" s="678" t="s">
        <v>543</v>
      </c>
      <c r="I17" s="440"/>
      <c r="J17" s="706"/>
    </row>
    <row r="18" spans="1:23" s="556" customFormat="1" ht="15" customHeight="1" x14ac:dyDescent="0.3">
      <c r="A18" s="2551"/>
      <c r="B18" s="2554"/>
      <c r="C18" s="636" t="str">
        <f t="shared" si="0"/>
        <v>FA4</v>
      </c>
      <c r="D18" s="636" t="s">
        <v>41</v>
      </c>
      <c r="E18" s="636" t="s">
        <v>33</v>
      </c>
      <c r="F18" s="636" t="s">
        <v>38</v>
      </c>
      <c r="G18" s="636">
        <f t="shared" si="1"/>
        <v>4</v>
      </c>
      <c r="H18" s="679" t="s">
        <v>928</v>
      </c>
      <c r="I18" s="440"/>
      <c r="J18" s="706"/>
    </row>
    <row r="19" spans="1:23" s="556" customFormat="1" ht="15" customHeight="1" x14ac:dyDescent="0.3">
      <c r="A19" s="2551"/>
      <c r="B19" s="2554"/>
      <c r="C19" s="636" t="str">
        <f t="shared" si="0"/>
        <v>FA5</v>
      </c>
      <c r="D19" s="636" t="s">
        <v>41</v>
      </c>
      <c r="E19" s="636" t="s">
        <v>33</v>
      </c>
      <c r="F19" s="636" t="s">
        <v>38</v>
      </c>
      <c r="G19" s="636">
        <f t="shared" si="1"/>
        <v>5</v>
      </c>
      <c r="H19" s="679" t="s">
        <v>929</v>
      </c>
      <c r="I19" s="440"/>
      <c r="J19" s="706"/>
    </row>
    <row r="20" spans="1:23" s="556" customFormat="1" ht="28.8" x14ac:dyDescent="0.3">
      <c r="A20" s="2551"/>
      <c r="B20" s="2554"/>
      <c r="C20" s="636" t="str">
        <f t="shared" si="0"/>
        <v>FA6</v>
      </c>
      <c r="D20" s="636" t="s">
        <v>41</v>
      </c>
      <c r="E20" s="636" t="s">
        <v>33</v>
      </c>
      <c r="F20" s="636" t="s">
        <v>38</v>
      </c>
      <c r="G20" s="636">
        <f t="shared" si="1"/>
        <v>6</v>
      </c>
      <c r="H20" s="678" t="s">
        <v>642</v>
      </c>
      <c r="I20" s="440"/>
      <c r="J20" s="706"/>
    </row>
    <row r="21" spans="1:23" s="556" customFormat="1" ht="28.8" x14ac:dyDescent="0.3">
      <c r="A21" s="2551"/>
      <c r="B21" s="2554"/>
      <c r="C21" s="636" t="str">
        <f t="shared" si="0"/>
        <v>FA7</v>
      </c>
      <c r="D21" s="636" t="s">
        <v>41</v>
      </c>
      <c r="E21" s="636" t="s">
        <v>33</v>
      </c>
      <c r="F21" s="636" t="s">
        <v>38</v>
      </c>
      <c r="G21" s="636">
        <f t="shared" si="1"/>
        <v>7</v>
      </c>
      <c r="H21" s="679" t="str">
        <f>CONCATENATE("Will the project be able to source the required skills, locally or from overseas, in relation to the project's ",'0.Basic Project Data'!H13,"?")</f>
        <v>Will the project be able to source the required skills, locally or from overseas, in relation to the project's Construction, Operations and Maintenance?</v>
      </c>
      <c r="I21" s="440"/>
      <c r="J21" s="706"/>
    </row>
    <row r="22" spans="1:23" s="556" customFormat="1" ht="15" customHeight="1" x14ac:dyDescent="0.3">
      <c r="A22" s="2551"/>
      <c r="B22" s="2554"/>
      <c r="C22" s="636" t="str">
        <f t="shared" si="0"/>
        <v>FB1</v>
      </c>
      <c r="D22" s="636" t="s">
        <v>41</v>
      </c>
      <c r="E22" s="636" t="s">
        <v>35</v>
      </c>
      <c r="F22" s="636" t="s">
        <v>571</v>
      </c>
      <c r="G22" s="636">
        <v>1</v>
      </c>
      <c r="H22" s="680" t="s">
        <v>99</v>
      </c>
      <c r="I22" s="440"/>
      <c r="J22" s="706"/>
    </row>
    <row r="23" spans="1:23" s="556" customFormat="1" ht="15" customHeight="1" x14ac:dyDescent="0.3">
      <c r="A23" s="2551"/>
      <c r="B23" s="2554"/>
      <c r="C23" s="636" t="str">
        <f t="shared" si="0"/>
        <v>FB2</v>
      </c>
      <c r="D23" s="636" t="s">
        <v>41</v>
      </c>
      <c r="E23" s="636" t="s">
        <v>35</v>
      </c>
      <c r="F23" s="636" t="s">
        <v>571</v>
      </c>
      <c r="G23" s="636">
        <f t="shared" si="1"/>
        <v>2</v>
      </c>
      <c r="H23" s="680" t="s">
        <v>544</v>
      </c>
      <c r="I23" s="440"/>
      <c r="J23" s="706"/>
    </row>
    <row r="24" spans="1:23" s="556" customFormat="1" ht="28.8" x14ac:dyDescent="0.3">
      <c r="A24" s="2551"/>
      <c r="B24" s="2554"/>
      <c r="C24" s="636" t="str">
        <f t="shared" si="0"/>
        <v>FB3</v>
      </c>
      <c r="D24" s="636" t="s">
        <v>41</v>
      </c>
      <c r="E24" s="636" t="s">
        <v>35</v>
      </c>
      <c r="F24" s="636" t="s">
        <v>571</v>
      </c>
      <c r="G24" s="636">
        <f t="shared" si="1"/>
        <v>3</v>
      </c>
      <c r="H24" s="948" t="s">
        <v>643</v>
      </c>
      <c r="I24" s="440"/>
      <c r="J24" s="706"/>
    </row>
    <row r="25" spans="1:23" s="556" customFormat="1" ht="15" customHeight="1" x14ac:dyDescent="0.3">
      <c r="A25" s="2551"/>
      <c r="B25" s="2554"/>
      <c r="C25" s="636"/>
      <c r="D25" s="636"/>
      <c r="E25" s="636"/>
      <c r="F25" s="636"/>
      <c r="G25" s="636"/>
      <c r="H25" s="682"/>
      <c r="I25" s="440"/>
      <c r="J25" s="706"/>
    </row>
    <row r="26" spans="1:23" s="556" customFormat="1" ht="15" customHeight="1" x14ac:dyDescent="0.3">
      <c r="A26" s="2551"/>
      <c r="B26" s="2554"/>
      <c r="C26" s="636"/>
      <c r="D26" s="636"/>
      <c r="E26" s="636"/>
      <c r="F26" s="636"/>
      <c r="G26" s="636"/>
      <c r="H26" s="680"/>
      <c r="I26" s="440"/>
      <c r="J26" s="706"/>
      <c r="K26" s="1135" t="s">
        <v>153</v>
      </c>
      <c r="L26" s="556" t="str">
        <f>'Data Analysis'!$C$157</f>
        <v>User Charges</v>
      </c>
      <c r="M26" s="556" t="str">
        <f>'Data Analysis'!$C$158</f>
        <v>Availability Payments</v>
      </c>
      <c r="N26" s="556" t="str">
        <f>'Data Analysis'!$C$159</f>
        <v>Hybrid Payments</v>
      </c>
      <c r="Q26" s="556" t="str">
        <f>'Data Analysis'!$C$157</f>
        <v>User Charges</v>
      </c>
      <c r="R26" s="556" t="str">
        <f>'Data Analysis'!$C$158</f>
        <v>Availability Payments</v>
      </c>
      <c r="S26" s="556" t="str">
        <f>'Data Analysis'!$C$159</f>
        <v>Hybrid Payments</v>
      </c>
      <c r="W26" s="556" t="str">
        <f ca="1">IF(OR(U32=0,U33="no"),P30,C149)</f>
        <v>FE28</v>
      </c>
    </row>
    <row r="27" spans="1:23" s="556" customFormat="1" ht="15" customHeight="1" x14ac:dyDescent="0.3">
      <c r="A27" s="2551"/>
      <c r="B27" s="2554"/>
      <c r="C27" s="636" t="str">
        <f t="shared" si="0"/>
        <v>FC1</v>
      </c>
      <c r="D27" s="636" t="s">
        <v>41</v>
      </c>
      <c r="E27" s="636" t="s">
        <v>36</v>
      </c>
      <c r="F27" s="636" t="s">
        <v>70</v>
      </c>
      <c r="G27" s="636">
        <v>1</v>
      </c>
      <c r="H27" s="683" t="s">
        <v>100</v>
      </c>
      <c r="I27" s="440"/>
      <c r="J27" s="706"/>
      <c r="K27" s="1135" t="s">
        <v>154</v>
      </c>
      <c r="L27" s="556" t="str">
        <f>C40</f>
        <v>FE3</v>
      </c>
      <c r="M27" s="556" t="str">
        <f>C49</f>
        <v>FE12</v>
      </c>
      <c r="N27" s="556" t="str">
        <f>C57</f>
        <v>FE20</v>
      </c>
      <c r="Q27" s="556" t="str">
        <f>L27</f>
        <v>FE3</v>
      </c>
      <c r="R27" s="556" t="str">
        <f t="shared" ref="R27:S29" si="2">M27</f>
        <v>FE12</v>
      </c>
      <c r="S27" s="556" t="str">
        <f t="shared" si="2"/>
        <v>FE20</v>
      </c>
    </row>
    <row r="28" spans="1:23" s="556" customFormat="1" ht="28.8" x14ac:dyDescent="0.3">
      <c r="A28" s="2551"/>
      <c r="B28" s="2554"/>
      <c r="C28" s="636" t="str">
        <f t="shared" si="0"/>
        <v>FC2</v>
      </c>
      <c r="D28" s="636" t="s">
        <v>41</v>
      </c>
      <c r="E28" s="636" t="s">
        <v>36</v>
      </c>
      <c r="F28" s="636" t="s">
        <v>70</v>
      </c>
      <c r="G28" s="636">
        <f t="shared" si="1"/>
        <v>2</v>
      </c>
      <c r="H28" s="684" t="s">
        <v>930</v>
      </c>
      <c r="I28" s="440"/>
      <c r="J28" s="706"/>
      <c r="L28" s="556" t="str">
        <f>C41</f>
        <v>FE4</v>
      </c>
      <c r="M28" s="556" t="str">
        <f>C50</f>
        <v>FE13</v>
      </c>
      <c r="N28" s="556" t="str">
        <f>C58</f>
        <v>FE21</v>
      </c>
      <c r="Q28" s="556" t="str">
        <f t="shared" ref="Q28:Q29" si="3">L28</f>
        <v>FE4</v>
      </c>
      <c r="R28" s="556" t="str">
        <f t="shared" si="2"/>
        <v>FE13</v>
      </c>
      <c r="S28" s="556" t="str">
        <f t="shared" si="2"/>
        <v>FE21</v>
      </c>
    </row>
    <row r="29" spans="1:23" s="556" customFormat="1" ht="15" customHeight="1" x14ac:dyDescent="0.3">
      <c r="A29" s="2551"/>
      <c r="B29" s="2554"/>
      <c r="C29" s="636" t="str">
        <f t="shared" si="0"/>
        <v>FC3</v>
      </c>
      <c r="D29" s="636" t="s">
        <v>41</v>
      </c>
      <c r="E29" s="636" t="s">
        <v>36</v>
      </c>
      <c r="F29" s="636" t="s">
        <v>70</v>
      </c>
      <c r="G29" s="636">
        <f t="shared" si="1"/>
        <v>3</v>
      </c>
      <c r="H29" s="681" t="s">
        <v>382</v>
      </c>
      <c r="I29" s="440"/>
      <c r="J29" s="706"/>
      <c r="L29" s="556" t="str">
        <f>C42</f>
        <v>FE5</v>
      </c>
      <c r="M29" s="556" t="str">
        <f>C51</f>
        <v>FE14</v>
      </c>
      <c r="N29" s="556" t="str">
        <f>C59</f>
        <v>FE22</v>
      </c>
      <c r="P29" s="556" t="s">
        <v>145</v>
      </c>
      <c r="Q29" s="556" t="str">
        <f t="shared" si="3"/>
        <v>FE5</v>
      </c>
      <c r="R29" s="556" t="str">
        <f t="shared" si="2"/>
        <v>FE14</v>
      </c>
      <c r="S29" s="556" t="str">
        <f t="shared" si="2"/>
        <v>FE22</v>
      </c>
    </row>
    <row r="30" spans="1:23" s="556" customFormat="1" ht="15" customHeight="1" x14ac:dyDescent="0.3">
      <c r="A30" s="2551"/>
      <c r="B30" s="2554"/>
      <c r="C30" s="636" t="str">
        <f t="shared" si="0"/>
        <v>FC4</v>
      </c>
      <c r="D30" s="636" t="s">
        <v>41</v>
      </c>
      <c r="E30" s="636" t="s">
        <v>36</v>
      </c>
      <c r="F30" s="636" t="s">
        <v>70</v>
      </c>
      <c r="G30" s="636">
        <f t="shared" si="1"/>
        <v>4</v>
      </c>
      <c r="H30" s="683" t="s">
        <v>473</v>
      </c>
      <c r="I30" s="440"/>
      <c r="J30" s="706"/>
      <c r="L30" s="556" t="str">
        <f>IF('II.Preliminary Feasibility'!$AB$68="Yes",C42,Questions!$P$30)</f>
        <v>FE5</v>
      </c>
      <c r="M30" s="556" t="str">
        <f>IF('II.Preliminary Feasibility'!$AB$68="Yes",C51,Questions!$P$30)</f>
        <v>FE14</v>
      </c>
      <c r="N30" s="556" t="str">
        <f>IF('II.Preliminary Feasibility'!$AB$68="Yes",C59,Questions!$P$30)</f>
        <v>FE22</v>
      </c>
      <c r="P30" s="556" t="str">
        <f>C65</f>
        <v>FE28</v>
      </c>
      <c r="Q30" s="556" t="str">
        <f>IF('0.Basic Project Data'!$H$25="Yes",$P30,$C$149)</f>
        <v>FE28</v>
      </c>
      <c r="R30" s="556" t="str">
        <f>IF('0.Basic Project Data'!$H$25="Yes",$P30,$C$149)</f>
        <v>FE28</v>
      </c>
      <c r="S30" s="556" t="str">
        <f>IF('0.Basic Project Data'!$H$25="Yes",$P30,$C$149)</f>
        <v>FE28</v>
      </c>
    </row>
    <row r="31" spans="1:23" s="556" customFormat="1" x14ac:dyDescent="0.3">
      <c r="A31" s="2551"/>
      <c r="B31" s="2554"/>
      <c r="C31" s="636" t="str">
        <f t="shared" si="0"/>
        <v>FC5</v>
      </c>
      <c r="D31" s="636" t="s">
        <v>41</v>
      </c>
      <c r="E31" s="636" t="s">
        <v>36</v>
      </c>
      <c r="F31" s="636" t="s">
        <v>70</v>
      </c>
      <c r="G31" s="636">
        <f t="shared" si="1"/>
        <v>5</v>
      </c>
      <c r="H31" s="685" t="s">
        <v>931</v>
      </c>
      <c r="I31" s="440"/>
      <c r="J31" s="706"/>
      <c r="K31" s="556">
        <v>0</v>
      </c>
      <c r="L31" s="556" t="str">
        <f>IF('II.Preliminary Feasibility'!$AB$68="Yes",C43,Questions!P31)</f>
        <v>FE6</v>
      </c>
      <c r="M31" s="556" t="str">
        <f>IF('II.Preliminary Feasibility'!$AB$68="Yes",C52,Questions!$P$31)</f>
        <v>FE15</v>
      </c>
      <c r="N31" s="556" t="str">
        <f>IF('II.Preliminary Feasibility'!$AB$68="Yes",C60,Questions!$P$31)</f>
        <v>FE23</v>
      </c>
      <c r="P31" s="556" t="str">
        <f>C66</f>
        <v>FE29</v>
      </c>
      <c r="Q31" s="556" t="str">
        <f>IF('0.Basic Project Data'!$H$25="Yes",$P31,$C$149)</f>
        <v>FE29</v>
      </c>
      <c r="R31" s="556" t="str">
        <f>IF('0.Basic Project Data'!$H$25="Yes",$P31,$C$149)</f>
        <v>FE29</v>
      </c>
      <c r="S31" s="556" t="str">
        <f>IF('0.Basic Project Data'!$H$25="Yes",$P31,$C$149)</f>
        <v>FE29</v>
      </c>
    </row>
    <row r="32" spans="1:23" s="556" customFormat="1" ht="15" customHeight="1" x14ac:dyDescent="0.3">
      <c r="A32" s="2551"/>
      <c r="B32" s="2554"/>
      <c r="C32" s="636" t="str">
        <f t="shared" si="0"/>
        <v>FC6</v>
      </c>
      <c r="D32" s="636" t="s">
        <v>41</v>
      </c>
      <c r="E32" s="636" t="s">
        <v>36</v>
      </c>
      <c r="F32" s="636" t="s">
        <v>70</v>
      </c>
      <c r="G32" s="636">
        <f t="shared" si="1"/>
        <v>6</v>
      </c>
      <c r="H32" s="686" t="s">
        <v>796</v>
      </c>
      <c r="I32" s="440"/>
      <c r="J32" s="706"/>
      <c r="L32" s="556" t="str">
        <f>IF($L$31=$P$31,$C$149,C45)</f>
        <v>FE8</v>
      </c>
      <c r="M32" s="556" t="str">
        <f>IF($M$31=$P$31,$C$149,C54)</f>
        <v>FE17</v>
      </c>
      <c r="N32" s="556" t="str">
        <f>IF($N$31=$P$31,$C$149,C62)</f>
        <v>FE25</v>
      </c>
      <c r="U32" s="556">
        <f>IF(AND(S40&gt;T40,U40&gt;V40),1,0)</f>
        <v>0</v>
      </c>
    </row>
    <row r="33" spans="1:30" s="556" customFormat="1" ht="28.8" x14ac:dyDescent="0.3">
      <c r="A33" s="2551"/>
      <c r="B33" s="2554"/>
      <c r="C33" s="636" t="str">
        <f t="shared" si="0"/>
        <v>FC7</v>
      </c>
      <c r="D33" s="636" t="s">
        <v>41</v>
      </c>
      <c r="E33" s="636" t="s">
        <v>36</v>
      </c>
      <c r="F33" s="636" t="s">
        <v>70</v>
      </c>
      <c r="G33" s="636">
        <f t="shared" si="1"/>
        <v>7</v>
      </c>
      <c r="H33" s="680" t="s">
        <v>932</v>
      </c>
      <c r="I33" s="440"/>
      <c r="J33" s="706"/>
      <c r="L33" s="556" t="str">
        <f>IF($L$31=$P$31,$C$149,C46)</f>
        <v>FE9</v>
      </c>
      <c r="M33" s="556" t="str">
        <f>IF($M$31=$P$31,$C$149,C55)</f>
        <v>FE18</v>
      </c>
      <c r="N33" s="556" t="str">
        <f>IF($N$31=$P$31,$C$149,C63)</f>
        <v>FE26</v>
      </c>
      <c r="U33" s="556" t="str">
        <f ca="1">AD39</f>
        <v>Yes</v>
      </c>
    </row>
    <row r="34" spans="1:30" s="556" customFormat="1" ht="28.8" x14ac:dyDescent="0.3">
      <c r="A34" s="2551"/>
      <c r="B34" s="2554"/>
      <c r="C34" s="636" t="str">
        <f t="shared" si="0"/>
        <v>FD1</v>
      </c>
      <c r="D34" s="636" t="s">
        <v>41</v>
      </c>
      <c r="E34" s="636" t="s">
        <v>37</v>
      </c>
      <c r="F34" s="636" t="s">
        <v>71</v>
      </c>
      <c r="G34" s="636">
        <v>1</v>
      </c>
      <c r="H34" s="680" t="s">
        <v>123</v>
      </c>
      <c r="I34" s="440"/>
      <c r="J34" s="706"/>
      <c r="L34" s="556" t="str">
        <f>IF($L$31=$P$31,$C$149,C47)</f>
        <v>FE10</v>
      </c>
      <c r="M34" s="556" t="str">
        <f>IF($M$31=$P$31,$C$149,C56)</f>
        <v>FE19</v>
      </c>
      <c r="N34" s="556" t="str">
        <f>IF($N$31=$P$31,$C$149,C64)</f>
        <v>FE27</v>
      </c>
    </row>
    <row r="35" spans="1:30" s="556" customFormat="1" ht="15" customHeight="1" x14ac:dyDescent="0.3">
      <c r="A35" s="2551"/>
      <c r="B35" s="2554"/>
      <c r="C35" s="636" t="str">
        <f t="shared" si="0"/>
        <v>FD2</v>
      </c>
      <c r="D35" s="636" t="s">
        <v>41</v>
      </c>
      <c r="E35" s="636" t="s">
        <v>37</v>
      </c>
      <c r="F35" s="636" t="s">
        <v>71</v>
      </c>
      <c r="G35" s="636">
        <f t="shared" si="1"/>
        <v>2</v>
      </c>
      <c r="H35" s="950" t="s">
        <v>447</v>
      </c>
      <c r="I35" s="440"/>
      <c r="J35" s="706"/>
      <c r="L35" s="556" t="str">
        <f t="shared" ref="L35:N36" si="4">$C$149</f>
        <v>FFF</v>
      </c>
      <c r="M35" s="556" t="str">
        <f t="shared" si="4"/>
        <v>FFF</v>
      </c>
      <c r="N35" s="556" t="str">
        <f t="shared" si="4"/>
        <v>FFF</v>
      </c>
    </row>
    <row r="36" spans="1:30" s="556" customFormat="1" ht="28.8" x14ac:dyDescent="0.3">
      <c r="A36" s="2551"/>
      <c r="B36" s="2554"/>
      <c r="C36" s="636" t="str">
        <f t="shared" si="0"/>
        <v>FD3</v>
      </c>
      <c r="D36" s="636" t="s">
        <v>41</v>
      </c>
      <c r="E36" s="636" t="s">
        <v>37</v>
      </c>
      <c r="F36" s="636" t="s">
        <v>71</v>
      </c>
      <c r="G36" s="636">
        <f t="shared" si="1"/>
        <v>3</v>
      </c>
      <c r="H36" s="680" t="s">
        <v>933</v>
      </c>
      <c r="I36" s="440"/>
      <c r="J36" s="706"/>
      <c r="L36" s="556" t="str">
        <f t="shared" si="4"/>
        <v>FFF</v>
      </c>
      <c r="M36" s="556" t="str">
        <f t="shared" si="4"/>
        <v>FFF</v>
      </c>
      <c r="N36" s="556" t="str">
        <f t="shared" si="4"/>
        <v>FFF</v>
      </c>
    </row>
    <row r="37" spans="1:30" s="556" customFormat="1" ht="28.8" x14ac:dyDescent="0.3">
      <c r="A37" s="2551"/>
      <c r="B37" s="2554"/>
      <c r="C37" s="636" t="str">
        <f t="shared" si="0"/>
        <v>FD4</v>
      </c>
      <c r="D37" s="1092" t="s">
        <v>41</v>
      </c>
      <c r="E37" s="1092" t="s">
        <v>37</v>
      </c>
      <c r="F37" s="1092" t="s">
        <v>71</v>
      </c>
      <c r="G37" s="1092">
        <f t="shared" si="1"/>
        <v>4</v>
      </c>
      <c r="H37" s="950" t="s">
        <v>787</v>
      </c>
      <c r="I37" s="440"/>
      <c r="J37" s="706"/>
    </row>
    <row r="38" spans="1:30" s="556" customFormat="1" ht="28.8" x14ac:dyDescent="0.3">
      <c r="A38" s="2551"/>
      <c r="B38" s="2554"/>
      <c r="C38" s="636" t="str">
        <f t="shared" si="0"/>
        <v>FE1</v>
      </c>
      <c r="D38" s="636" t="s">
        <v>41</v>
      </c>
      <c r="E38" s="636" t="s">
        <v>40</v>
      </c>
      <c r="F38" s="636" t="s">
        <v>72</v>
      </c>
      <c r="G38" s="639">
        <v>1</v>
      </c>
      <c r="H38" s="680" t="s">
        <v>934</v>
      </c>
      <c r="I38" s="440"/>
      <c r="J38" s="706"/>
      <c r="S38" s="1135" t="s">
        <v>152</v>
      </c>
      <c r="T38" s="704" t="str">
        <f>'0.Basic Project Data'!H22</f>
        <v>Hybrid Payments</v>
      </c>
    </row>
    <row r="39" spans="1:30" s="556" customFormat="1" ht="15" customHeight="1" x14ac:dyDescent="0.3">
      <c r="A39" s="2551"/>
      <c r="B39" s="2554"/>
      <c r="C39" s="636" t="str">
        <f t="shared" si="0"/>
        <v>FE2</v>
      </c>
      <c r="D39" s="636" t="s">
        <v>41</v>
      </c>
      <c r="E39" s="636" t="s">
        <v>40</v>
      </c>
      <c r="F39" s="636" t="s">
        <v>72</v>
      </c>
      <c r="G39" s="640">
        <f t="shared" si="1"/>
        <v>2</v>
      </c>
      <c r="H39" s="680" t="s">
        <v>935</v>
      </c>
      <c r="I39" s="440"/>
      <c r="J39" s="706"/>
      <c r="N39" s="2546" t="s">
        <v>155</v>
      </c>
      <c r="O39" s="556" t="str">
        <f>HLOOKUP(T38,L26:N34,2,FALSE)</f>
        <v>FE20</v>
      </c>
      <c r="P39" s="556" t="str">
        <f ca="1">IF($AD$39="yes",HLOOKUP($T$38,Q26:S36,2,FALSE))</f>
        <v>FE20</v>
      </c>
      <c r="S39" s="556" t="s">
        <v>184</v>
      </c>
      <c r="T39" s="556" t="s">
        <v>117</v>
      </c>
      <c r="U39" s="556" t="s">
        <v>192</v>
      </c>
      <c r="V39" s="556" t="s">
        <v>193</v>
      </c>
      <c r="Z39" s="1136" t="s">
        <v>156</v>
      </c>
      <c r="AD39" s="556" t="str">
        <f ca="1">IF('II.Preliminary Feasibility'!C69="FE5",'II.Preliminary Feasibility'!AB69,'II.Preliminary Feasibility'!AB68)</f>
        <v>Yes</v>
      </c>
    </row>
    <row r="40" spans="1:30" s="556" customFormat="1" ht="28.8" x14ac:dyDescent="0.3">
      <c r="A40" s="2551"/>
      <c r="B40" s="2554"/>
      <c r="C40" s="636" t="str">
        <f t="shared" si="0"/>
        <v>FE3</v>
      </c>
      <c r="D40" s="636" t="s">
        <v>41</v>
      </c>
      <c r="E40" s="636" t="s">
        <v>40</v>
      </c>
      <c r="F40" s="636" t="s">
        <v>72</v>
      </c>
      <c r="G40" s="639">
        <f t="shared" si="1"/>
        <v>3</v>
      </c>
      <c r="H40" s="680" t="s">
        <v>280</v>
      </c>
      <c r="I40" s="440"/>
      <c r="J40" s="706"/>
      <c r="N40" s="2546"/>
      <c r="O40" s="556" t="str">
        <f>HLOOKUP(O39,L27:N34,2,FALSE)</f>
        <v>FE21</v>
      </c>
      <c r="P40" s="556" t="str">
        <f ca="1">HLOOKUP(P39,Q27:S34,2,FALSE)</f>
        <v>FE21</v>
      </c>
      <c r="S40" s="1137">
        <f>'0.Basic Project Data'!$H$41</f>
        <v>0</v>
      </c>
      <c r="T40" s="1137">
        <f>'0.Basic Project Data'!H43</f>
        <v>0</v>
      </c>
      <c r="U40" s="1138">
        <f>'0.Basic Project Data'!H44</f>
        <v>0</v>
      </c>
      <c r="V40" s="556">
        <f>'0.Basic Project Data'!H46</f>
        <v>0</v>
      </c>
    </row>
    <row r="41" spans="1:30" s="556" customFormat="1" ht="28.8" x14ac:dyDescent="0.3">
      <c r="A41" s="2551"/>
      <c r="B41" s="2554"/>
      <c r="C41" s="636" t="str">
        <f t="shared" si="0"/>
        <v>FE4</v>
      </c>
      <c r="D41" s="636" t="s">
        <v>41</v>
      </c>
      <c r="E41" s="636" t="s">
        <v>40</v>
      </c>
      <c r="F41" s="636" t="s">
        <v>72</v>
      </c>
      <c r="G41" s="639">
        <f t="shared" si="1"/>
        <v>4</v>
      </c>
      <c r="H41" s="680" t="s">
        <v>281</v>
      </c>
      <c r="I41" s="440"/>
      <c r="J41" s="706"/>
      <c r="N41" s="2546"/>
      <c r="O41" s="556" t="str">
        <f>HLOOKUP(O40,L28:N35,2,FALSE)</f>
        <v>FE22</v>
      </c>
      <c r="P41" s="556" t="str">
        <f ca="1">HLOOKUP(P40,Q28:S35,2,FALSE)</f>
        <v>FE22</v>
      </c>
    </row>
    <row r="42" spans="1:30" s="556" customFormat="1" ht="15" customHeight="1" x14ac:dyDescent="0.3">
      <c r="A42" s="2551"/>
      <c r="B42" s="2554"/>
      <c r="C42" s="636" t="str">
        <f t="shared" si="0"/>
        <v>FE5</v>
      </c>
      <c r="D42" s="636" t="s">
        <v>41</v>
      </c>
      <c r="E42" s="636" t="s">
        <v>40</v>
      </c>
      <c r="F42" s="636" t="s">
        <v>72</v>
      </c>
      <c r="G42" s="639">
        <f t="shared" si="1"/>
        <v>5</v>
      </c>
      <c r="H42" s="680" t="s">
        <v>131</v>
      </c>
      <c r="I42" s="440"/>
      <c r="J42" s="706"/>
      <c r="O42" s="556" t="str">
        <f>HLOOKUP(O41,L29:N36,2,FALSE)</f>
        <v>FE22</v>
      </c>
      <c r="P42" s="556" t="str">
        <f ca="1">HLOOKUP(P41,Q29:S36,2,FALSE)</f>
        <v>FE28</v>
      </c>
      <c r="S42" s="704" t="str">
        <f>L26</f>
        <v>User Charges</v>
      </c>
      <c r="T42" s="704" t="str">
        <f t="shared" ref="T42:U42" si="5">M26</f>
        <v>Availability Payments</v>
      </c>
      <c r="U42" s="704" t="str">
        <f t="shared" si="5"/>
        <v>Hybrid Payments</v>
      </c>
      <c r="W42" s="556" t="s">
        <v>155</v>
      </c>
      <c r="Z42" s="704"/>
      <c r="AA42" s="704"/>
      <c r="AB42" s="704"/>
    </row>
    <row r="43" spans="1:30" s="556" customFormat="1" ht="15" customHeight="1" x14ac:dyDescent="0.3">
      <c r="A43" s="2551"/>
      <c r="B43" s="2554"/>
      <c r="C43" s="636" t="str">
        <f t="shared" si="0"/>
        <v>FE6</v>
      </c>
      <c r="D43" s="636" t="s">
        <v>41</v>
      </c>
      <c r="E43" s="636" t="s">
        <v>40</v>
      </c>
      <c r="F43" s="636" t="s">
        <v>72</v>
      </c>
      <c r="G43" s="636">
        <f t="shared" si="1"/>
        <v>6</v>
      </c>
      <c r="H43" s="680" t="s">
        <v>458</v>
      </c>
      <c r="I43" s="440"/>
      <c r="J43" s="706"/>
      <c r="O43" s="556" t="str">
        <f>HLOOKUP(O42,L30:N38,2,FALSE)</f>
        <v>FE23</v>
      </c>
      <c r="P43" s="556" t="str">
        <f ca="1">HLOOKUP(P42,Q30:S38,2,FALSE)</f>
        <v>FE29</v>
      </c>
      <c r="S43" s="704" t="str">
        <f>IF($T$38=$L$26,C38,$C$149)</f>
        <v>FFF</v>
      </c>
      <c r="T43" s="704" t="str">
        <f>IF($T$38=$M$26,C38,$C$149)</f>
        <v>FFF</v>
      </c>
      <c r="U43" s="704" t="str">
        <f>IF($T$38=$N$26,C38,$C$149)</f>
        <v>FE1</v>
      </c>
      <c r="W43" s="556" t="str">
        <f>HLOOKUP($T$38,S42:U51,2,FALSE)</f>
        <v>FE1</v>
      </c>
    </row>
    <row r="44" spans="1:30" s="556" customFormat="1" ht="15" customHeight="1" x14ac:dyDescent="0.3">
      <c r="A44" s="2551"/>
      <c r="B44" s="2554"/>
      <c r="C44" s="636" t="str">
        <f t="shared" si="0"/>
        <v>FE7</v>
      </c>
      <c r="D44" s="636" t="s">
        <v>41</v>
      </c>
      <c r="E44" s="636" t="s">
        <v>40</v>
      </c>
      <c r="F44" s="636" t="s">
        <v>72</v>
      </c>
      <c r="G44" s="640">
        <f t="shared" si="1"/>
        <v>7</v>
      </c>
      <c r="H44" s="687" t="s">
        <v>226</v>
      </c>
      <c r="I44" s="440"/>
      <c r="J44" s="706"/>
      <c r="S44" s="704" t="str">
        <f>IF($T$38=$L$26,C40,$C$149)</f>
        <v>FFF</v>
      </c>
      <c r="T44" s="704" t="str">
        <f>IF($T$38=$M$26,C49,$C$149)</f>
        <v>FFF</v>
      </c>
      <c r="U44" s="704" t="str">
        <f>IF($T$38=$N$26,C57,$C$149)</f>
        <v>FE20</v>
      </c>
      <c r="W44" s="556" t="str">
        <f t="shared" ref="W44:W51" si="6">HLOOKUP(W43,S43:U51,2,FALSE)</f>
        <v>FE20</v>
      </c>
    </row>
    <row r="45" spans="1:30" s="556" customFormat="1" ht="28.8" x14ac:dyDescent="0.3">
      <c r="A45" s="2551"/>
      <c r="B45" s="2554"/>
      <c r="C45" s="636" t="str">
        <f t="shared" si="0"/>
        <v>FE8</v>
      </c>
      <c r="D45" s="636" t="s">
        <v>41</v>
      </c>
      <c r="E45" s="636" t="s">
        <v>40</v>
      </c>
      <c r="F45" s="636" t="s">
        <v>72</v>
      </c>
      <c r="G45" s="640">
        <f t="shared" si="1"/>
        <v>8</v>
      </c>
      <c r="H45" s="680" t="s">
        <v>990</v>
      </c>
      <c r="I45" s="440"/>
      <c r="J45" s="706"/>
      <c r="S45" s="704" t="str">
        <f>IF($T$38=$L$26,C41,$C$149)</f>
        <v>FFF</v>
      </c>
      <c r="T45" s="704" t="str">
        <f>IF($T$38=$M$26,C58,$C$149)</f>
        <v>FFF</v>
      </c>
      <c r="U45" s="704" t="str">
        <f>IF($T$38=$N$26,C58,$C$149)</f>
        <v>FE21</v>
      </c>
      <c r="W45" s="556" t="str">
        <f t="shared" si="6"/>
        <v>FE21</v>
      </c>
    </row>
    <row r="46" spans="1:30" s="556" customFormat="1" x14ac:dyDescent="0.3">
      <c r="A46" s="2551"/>
      <c r="B46" s="2554"/>
      <c r="C46" s="636" t="str">
        <f t="shared" si="0"/>
        <v>FE9</v>
      </c>
      <c r="D46" s="636" t="s">
        <v>41</v>
      </c>
      <c r="E46" s="636" t="s">
        <v>40</v>
      </c>
      <c r="F46" s="636" t="s">
        <v>72</v>
      </c>
      <c r="G46" s="636">
        <f t="shared" si="1"/>
        <v>9</v>
      </c>
      <c r="H46" s="680" t="s">
        <v>1043</v>
      </c>
      <c r="I46" s="440"/>
      <c r="J46" s="706"/>
      <c r="R46" s="556">
        <v>47</v>
      </c>
      <c r="S46" s="704" t="str">
        <f>IF($T$38=$L$26,C58,$C$149)</f>
        <v>FFF</v>
      </c>
      <c r="T46" s="704" t="str">
        <f>IF(AND(AND($S$40&gt;0,$U$40&gt;0),AND($S$40&gt;=$T$40,$U$40&gt;=$V$40)),$C$149,IF(AND(AND($S$40&gt;0,$U$40&gt;0),OR($S$40&lt;$T$40,$U$40&lt;$V$40)),C65,C50))</f>
        <v>FE13</v>
      </c>
      <c r="U46" s="704" t="str">
        <f>IF(AND(AND($S$40&gt;0,$U$40&gt;0),AND($S$40&gt;=$T$40,$U$40&gt;=$V$40)),$C$149,IF(AND(AND($S$40&gt;0,$U$40&gt;0),OR($S$40&lt;$T$40,$U$40&lt;$V$40)),C65,C50))</f>
        <v>FE13</v>
      </c>
      <c r="W46" s="556" t="str">
        <f t="shared" si="6"/>
        <v>FE13</v>
      </c>
    </row>
    <row r="47" spans="1:30" s="556" customFormat="1" ht="15" customHeight="1" x14ac:dyDescent="0.3">
      <c r="A47" s="2551"/>
      <c r="B47" s="2554"/>
      <c r="C47" s="636" t="str">
        <f t="shared" si="0"/>
        <v>FE10</v>
      </c>
      <c r="D47" s="636" t="s">
        <v>41</v>
      </c>
      <c r="E47" s="636" t="s">
        <v>40</v>
      </c>
      <c r="F47" s="636" t="s">
        <v>72</v>
      </c>
      <c r="G47" s="636">
        <f t="shared" si="1"/>
        <v>10</v>
      </c>
      <c r="H47" s="680" t="s">
        <v>936</v>
      </c>
      <c r="I47" s="440"/>
      <c r="J47" s="706"/>
      <c r="R47" s="556">
        <v>56</v>
      </c>
      <c r="S47" s="704" t="str">
        <f>IF(AND(AND($S$40&gt;0,$U$40&gt;0),AND($S$40&gt;=$T$40,$U$40&gt;=$V$40)),$C$149,IF(AND(AND($S$40&gt;0,$U$40&gt;0),OR($S$40&lt;$T$40,$U$40&lt;$V$40)),C65,C42))</f>
        <v>FE5</v>
      </c>
      <c r="T47" s="704" t="str">
        <f ca="1">IF(AND(AND($S$40&gt;0,$U$40&gt;0),AND($S$40&gt;=$T$40,$U$40&gt;=$V$40)),$C$149,IF(AND(AND($S$40&gt;0,$U$40&gt;0),OR($S$40&lt;$T$40,$U$40&lt;$V$40)),C66,IF($AD$39="Yes",C51,IF($AD$39="No",C65,$C$149))))</f>
        <v>FE14</v>
      </c>
      <c r="U47" s="704" t="str">
        <f ca="1">IF(AND(AND($S$40&gt;0,$U$40&gt;0),AND($S$40&gt;=$T$40,$U$40&gt;=$V$40)),$C$149,IF(AND(AND($S$40&gt;0,$U$40&gt;0),OR($S$40&lt;$T$40,$U$40&lt;$V$40)),C66,IF($AD$39="Yes",C59,IF($AD$39="No",C65,$C$149))))</f>
        <v>FE22</v>
      </c>
      <c r="W47" s="556" t="str">
        <f t="shared" ca="1" si="6"/>
        <v>FE14</v>
      </c>
    </row>
    <row r="48" spans="1:30" s="556" customFormat="1" ht="28.8" x14ac:dyDescent="0.3">
      <c r="A48" s="2551"/>
      <c r="B48" s="2554"/>
      <c r="C48" s="636" t="str">
        <f t="shared" si="0"/>
        <v>FE11</v>
      </c>
      <c r="D48" s="636" t="s">
        <v>41</v>
      </c>
      <c r="E48" s="636" t="s">
        <v>40</v>
      </c>
      <c r="F48" s="636" t="s">
        <v>72</v>
      </c>
      <c r="G48" s="636">
        <f t="shared" si="1"/>
        <v>11</v>
      </c>
      <c r="H48" s="680" t="s">
        <v>992</v>
      </c>
      <c r="I48" s="440"/>
      <c r="J48" s="706"/>
      <c r="R48" s="556">
        <v>58</v>
      </c>
      <c r="S48" s="704" t="str">
        <f ca="1">IF(AND(AND($S$40&gt;0,$U$40&gt;0),AND($S$40&gt;=$T$40,$U$40&gt;=$V$40)),$C$149,IF(AND(AND($S$40&gt;0,$U$40&gt;0),OR($S$40&lt;$T$40,$U$40&lt;$V$40)),C66,IF($AD$39="Yes",C43,IF($AD$39="No",C65,$C$149))))</f>
        <v>FE6</v>
      </c>
      <c r="T48" s="704" t="str">
        <f ca="1">IF(AND(AND($S$40&gt;0,$U$40&gt;0),AND($S$40&gt;=$T$40,$U$40&gt;=$V$40)),$C$149,IF(AND(AND($S$40&gt;0,$U$40&gt;0),OR($S$40&lt;$T$40,$U$40&lt;$V$40)),$C$149,IF($AD$39="Yes",C53,IF($AD$39="No",C66,$C$149))))</f>
        <v>FE16</v>
      </c>
      <c r="U48" s="704" t="str">
        <f ca="1">IF(AND(AND($S$40&gt;0,$U$40&gt;0),AND($S$40&gt;=$T$40,$U$40&gt;=$V$40)),$C$149,IF(AND(AND($S$40&gt;0,$U$40&gt;0),OR($S$40&lt;$T$40,$U$40&lt;$V$40)),$C$149,IF($AD$39="Yes",C61,IF($AD$39="No",C66,$C$149))))</f>
        <v>FE24</v>
      </c>
      <c r="W48" s="556" t="str">
        <f t="shared" ca="1" si="6"/>
        <v>FE16</v>
      </c>
    </row>
    <row r="49" spans="1:23" s="556" customFormat="1" ht="43.2" x14ac:dyDescent="0.3">
      <c r="A49" s="2551"/>
      <c r="B49" s="2554"/>
      <c r="C49" s="636" t="str">
        <f t="shared" si="0"/>
        <v>FE12</v>
      </c>
      <c r="D49" s="636" t="s">
        <v>41</v>
      </c>
      <c r="E49" s="636" t="s">
        <v>40</v>
      </c>
      <c r="F49" s="636" t="s">
        <v>72</v>
      </c>
      <c r="G49" s="636">
        <f t="shared" si="1"/>
        <v>12</v>
      </c>
      <c r="H49" s="680" t="s">
        <v>937</v>
      </c>
      <c r="I49" s="440"/>
      <c r="J49" s="706"/>
      <c r="R49" s="556">
        <v>59</v>
      </c>
      <c r="S49" s="704" t="str">
        <f ca="1">IF(AND(AND($S$40&gt;0,$U$40&gt;0),AND($S$40&gt;=$T$40,$U$40&gt;=$V$40)),$C$149,IF(AND(AND($S$40&gt;0,$U$40&gt;0),OR($S$40&lt;$T$40,$U$40&lt;$V$40)),$C$149,IF($AD$39="Yes",C45,IF($AD$39="No",C66,$C$149))))</f>
        <v>FE8</v>
      </c>
      <c r="T49" s="704" t="str">
        <f ca="1">IF(AND(AND($S$40&gt;0,$U$40&gt;0),AND($S$40&gt;=$T$40,$U$40&gt;=$V$40)),$C$149,IF(AND(AND($S$40&gt;0,$U$40&gt;0),OR($S$40&lt;$T$40,$U$40&lt;$V$40)),$C$149,IF($AD$39="Yes",C54,IF($AD$39="No",$C$149,$C$149))))</f>
        <v>FE17</v>
      </c>
      <c r="U49" s="704" t="str">
        <f ca="1">IF(AND(AND($S$40&gt;0,$U$40&gt;0),AND($S$40&gt;=$T$40,$U$40&gt;=$V$40)),$C$149,IF(AND(AND($S$40&gt;0,$U$40&gt;0),OR($S$40&lt;$T$40,$U$40&lt;$V$40)),$C$149,IF($AD$39="Yes",C62,IF($AD$39="No",$C$149,$C$149))))</f>
        <v>FE25</v>
      </c>
      <c r="W49" s="556" t="str">
        <f t="shared" ca="1" si="6"/>
        <v>FE17</v>
      </c>
    </row>
    <row r="50" spans="1:23" s="556" customFormat="1" ht="15" customHeight="1" x14ac:dyDescent="0.3">
      <c r="A50" s="2551"/>
      <c r="B50" s="2554"/>
      <c r="C50" s="636" t="str">
        <f t="shared" si="0"/>
        <v>FE13</v>
      </c>
      <c r="D50" s="636" t="s">
        <v>41</v>
      </c>
      <c r="E50" s="636" t="s">
        <v>40</v>
      </c>
      <c r="F50" s="636" t="s">
        <v>72</v>
      </c>
      <c r="G50" s="636">
        <f t="shared" si="1"/>
        <v>13</v>
      </c>
      <c r="H50" s="680" t="s">
        <v>131</v>
      </c>
      <c r="I50" s="440"/>
      <c r="J50" s="706"/>
      <c r="R50" s="556">
        <v>61</v>
      </c>
      <c r="S50" s="704" t="str">
        <f ca="1">IF(AND(AND($S$40&gt;0,$U$40&gt;0),AND($S$40&gt;=$T$40,$U$40&gt;=$V$40)),$C$149,IF(AND(AND($S$40&gt;0,$U$40&gt;0),OR($S$40&lt;$T$40,$U$40&lt;$V$40)),$C$149,IF($AD$39="Yes",C46,IF($AD$39="No",$C$149,$C$149))))</f>
        <v>FE9</v>
      </c>
      <c r="T50" s="704" t="str">
        <f ca="1">IF(AND(AND($S$40&gt;0,$U$40&gt;0),AND($S$40&gt;=$T$40,$U$40&gt;=$V$40)),$C$149,IF(AND(AND($S$40&gt;0,$U$40&gt;0),OR($S$40&lt;$T$40,$U$40&lt;$V$40)),$C$149,IF($AD$39="Yes",C56,IF($AD$39="No",$C$149,$C$149))))</f>
        <v>FE19</v>
      </c>
      <c r="U50" s="704" t="str">
        <f ca="1">IF(AND(AND($S$40&gt;0,$U$40&gt;0),AND($S$40&gt;=$T$40,$U$40&gt;=$V$40)),$C$149,IF(AND(AND($S$40&gt;0,$U$40&gt;0),OR($S$40&lt;$T$40,$U$40&lt;$V$40)),$C$149,IF($AD$39="Yes",C64,IF($AD$39="No",$C$149,$C$149))))</f>
        <v>FE27</v>
      </c>
      <c r="W50" s="556" t="str">
        <f t="shared" ca="1" si="6"/>
        <v>FE19</v>
      </c>
    </row>
    <row r="51" spans="1:23" s="556" customFormat="1" ht="15" customHeight="1" x14ac:dyDescent="0.3">
      <c r="A51" s="2551"/>
      <c r="B51" s="2554"/>
      <c r="C51" s="636" t="str">
        <f t="shared" si="0"/>
        <v>FE14</v>
      </c>
      <c r="D51" s="636" t="s">
        <v>41</v>
      </c>
      <c r="E51" s="636" t="s">
        <v>40</v>
      </c>
      <c r="F51" s="636" t="s">
        <v>72</v>
      </c>
      <c r="G51" s="636">
        <f t="shared" si="1"/>
        <v>14</v>
      </c>
      <c r="H51" s="680" t="s">
        <v>458</v>
      </c>
      <c r="I51" s="440"/>
      <c r="J51" s="706"/>
      <c r="S51" s="704" t="str">
        <f ca="1">IF(AND(AND($S$40&gt;0,$U$40&gt;0),AND($S$40&gt;=$T$40,$U$40&gt;=$V$40)),$C$149,IF(AND(AND($S$40&gt;0,$U$40&gt;0),OR($S$40&lt;$T$40,$U$40&lt;$V$40)),$C$149,IF($AD$39="Yes",C48,IF($AD$39="No",$C$149,$C$149))))</f>
        <v>FE11</v>
      </c>
      <c r="T51" s="704" t="str">
        <f>$C$149</f>
        <v>FFF</v>
      </c>
      <c r="U51" s="704" t="str">
        <f>$C$149</f>
        <v>FFF</v>
      </c>
      <c r="W51" s="556" t="str">
        <f t="shared" ca="1" si="6"/>
        <v>FFF</v>
      </c>
    </row>
    <row r="52" spans="1:23" s="556" customFormat="1" ht="15" customHeight="1" x14ac:dyDescent="0.3">
      <c r="A52" s="2551"/>
      <c r="B52" s="2554"/>
      <c r="C52" s="636" t="str">
        <f t="shared" si="0"/>
        <v>FE15</v>
      </c>
      <c r="D52" s="636" t="s">
        <v>41</v>
      </c>
      <c r="E52" s="636" t="s">
        <v>40</v>
      </c>
      <c r="F52" s="636" t="s">
        <v>72</v>
      </c>
      <c r="G52" s="636">
        <f>G51+1</f>
        <v>15</v>
      </c>
      <c r="H52" s="680" t="s">
        <v>226</v>
      </c>
      <c r="I52" s="440"/>
      <c r="J52" s="706"/>
      <c r="U52" s="704"/>
    </row>
    <row r="53" spans="1:23" s="556" customFormat="1" ht="28.8" x14ac:dyDescent="0.3">
      <c r="A53" s="2551"/>
      <c r="B53" s="2554"/>
      <c r="C53" s="636" t="str">
        <f t="shared" si="0"/>
        <v>FE16</v>
      </c>
      <c r="D53" s="636" t="s">
        <v>41</v>
      </c>
      <c r="E53" s="636" t="s">
        <v>40</v>
      </c>
      <c r="F53" s="636" t="s">
        <v>72</v>
      </c>
      <c r="G53" s="636">
        <f>G52+1</f>
        <v>16</v>
      </c>
      <c r="H53" s="680" t="s">
        <v>1044</v>
      </c>
      <c r="I53" s="440"/>
      <c r="J53" s="706"/>
    </row>
    <row r="54" spans="1:23" s="556" customFormat="1" x14ac:dyDescent="0.3">
      <c r="A54" s="2551"/>
      <c r="B54" s="2554"/>
      <c r="C54" s="636" t="str">
        <f t="shared" si="0"/>
        <v>FE17</v>
      </c>
      <c r="D54" s="636" t="s">
        <v>41</v>
      </c>
      <c r="E54" s="636" t="s">
        <v>40</v>
      </c>
      <c r="F54" s="636" t="s">
        <v>72</v>
      </c>
      <c r="G54" s="636">
        <f t="shared" si="1"/>
        <v>17</v>
      </c>
      <c r="H54" s="680" t="s">
        <v>1043</v>
      </c>
      <c r="I54" s="440"/>
      <c r="J54" s="706"/>
    </row>
    <row r="55" spans="1:23" s="556" customFormat="1" ht="15" customHeight="1" x14ac:dyDescent="0.3">
      <c r="A55" s="2551"/>
      <c r="B55" s="2554"/>
      <c r="C55" s="636" t="str">
        <f t="shared" si="0"/>
        <v>FE18</v>
      </c>
      <c r="D55" s="636" t="s">
        <v>41</v>
      </c>
      <c r="E55" s="636" t="s">
        <v>40</v>
      </c>
      <c r="F55" s="636" t="s">
        <v>72</v>
      </c>
      <c r="G55" s="636">
        <f t="shared" si="1"/>
        <v>18</v>
      </c>
      <c r="H55" s="680" t="s">
        <v>227</v>
      </c>
      <c r="I55" s="440"/>
      <c r="J55" s="706"/>
    </row>
    <row r="56" spans="1:23" s="556" customFormat="1" ht="28.8" x14ac:dyDescent="0.3">
      <c r="A56" s="2551"/>
      <c r="B56" s="2554"/>
      <c r="C56" s="636" t="str">
        <f t="shared" si="0"/>
        <v>FE19</v>
      </c>
      <c r="D56" s="636" t="s">
        <v>41</v>
      </c>
      <c r="E56" s="636" t="s">
        <v>40</v>
      </c>
      <c r="F56" s="636" t="s">
        <v>72</v>
      </c>
      <c r="G56" s="636">
        <f t="shared" si="1"/>
        <v>19</v>
      </c>
      <c r="H56" s="680" t="s">
        <v>992</v>
      </c>
      <c r="I56" s="440"/>
      <c r="J56" s="706"/>
    </row>
    <row r="57" spans="1:23" s="556" customFormat="1" ht="57.6" x14ac:dyDescent="0.3">
      <c r="A57" s="2551"/>
      <c r="B57" s="2554"/>
      <c r="C57" s="636" t="str">
        <f t="shared" si="0"/>
        <v>FE20</v>
      </c>
      <c r="D57" s="636" t="s">
        <v>41</v>
      </c>
      <c r="E57" s="636" t="s">
        <v>40</v>
      </c>
      <c r="F57" s="636" t="s">
        <v>72</v>
      </c>
      <c r="G57" s="636">
        <f t="shared" si="1"/>
        <v>20</v>
      </c>
      <c r="H57" s="680" t="s">
        <v>938</v>
      </c>
      <c r="I57" s="440"/>
      <c r="J57" s="706"/>
    </row>
    <row r="58" spans="1:23" s="556" customFormat="1" ht="28.8" x14ac:dyDescent="0.3">
      <c r="A58" s="2551"/>
      <c r="B58" s="2554"/>
      <c r="C58" s="636" t="str">
        <f t="shared" si="0"/>
        <v>FE21</v>
      </c>
      <c r="D58" s="636" t="s">
        <v>41</v>
      </c>
      <c r="E58" s="636" t="s">
        <v>40</v>
      </c>
      <c r="F58" s="636" t="s">
        <v>72</v>
      </c>
      <c r="G58" s="636">
        <f t="shared" si="1"/>
        <v>21</v>
      </c>
      <c r="H58" s="680" t="s">
        <v>939</v>
      </c>
      <c r="I58" s="440"/>
      <c r="J58" s="706"/>
    </row>
    <row r="59" spans="1:23" s="556" customFormat="1" ht="15" customHeight="1" x14ac:dyDescent="0.3">
      <c r="A59" s="2551"/>
      <c r="B59" s="2554"/>
      <c r="C59" s="636" t="str">
        <f t="shared" si="0"/>
        <v>FE22</v>
      </c>
      <c r="D59" s="636" t="s">
        <v>41</v>
      </c>
      <c r="E59" s="636" t="s">
        <v>40</v>
      </c>
      <c r="F59" s="636" t="s">
        <v>72</v>
      </c>
      <c r="G59" s="636">
        <f t="shared" si="1"/>
        <v>22</v>
      </c>
      <c r="H59" s="680" t="s">
        <v>458</v>
      </c>
      <c r="I59" s="440"/>
      <c r="J59" s="706"/>
    </row>
    <row r="60" spans="1:23" s="556" customFormat="1" ht="15" customHeight="1" x14ac:dyDescent="0.3">
      <c r="A60" s="2551"/>
      <c r="B60" s="2554"/>
      <c r="C60" s="636" t="str">
        <f t="shared" si="0"/>
        <v>FE23</v>
      </c>
      <c r="D60" s="636" t="s">
        <v>41</v>
      </c>
      <c r="E60" s="636" t="s">
        <v>40</v>
      </c>
      <c r="F60" s="636" t="s">
        <v>72</v>
      </c>
      <c r="G60" s="636">
        <f t="shared" si="1"/>
        <v>23</v>
      </c>
      <c r="H60" s="680" t="s">
        <v>226</v>
      </c>
      <c r="I60" s="440"/>
      <c r="J60" s="706"/>
    </row>
    <row r="61" spans="1:23" s="556" customFormat="1" ht="28.8" x14ac:dyDescent="0.3">
      <c r="A61" s="2551"/>
      <c r="B61" s="2554"/>
      <c r="C61" s="636" t="str">
        <f t="shared" si="0"/>
        <v>FE24</v>
      </c>
      <c r="D61" s="636" t="s">
        <v>41</v>
      </c>
      <c r="E61" s="636" t="s">
        <v>40</v>
      </c>
      <c r="F61" s="636" t="s">
        <v>72</v>
      </c>
      <c r="G61" s="636">
        <f t="shared" si="1"/>
        <v>24</v>
      </c>
      <c r="H61" s="680" t="s">
        <v>990</v>
      </c>
      <c r="I61" s="440"/>
      <c r="J61" s="706"/>
    </row>
    <row r="62" spans="1:23" s="556" customFormat="1" ht="28.8" x14ac:dyDescent="0.3">
      <c r="A62" s="2551"/>
      <c r="B62" s="2554"/>
      <c r="C62" s="636" t="str">
        <f t="shared" si="0"/>
        <v>FE25</v>
      </c>
      <c r="D62" s="636" t="s">
        <v>41</v>
      </c>
      <c r="E62" s="636" t="s">
        <v>40</v>
      </c>
      <c r="F62" s="636" t="s">
        <v>72</v>
      </c>
      <c r="G62" s="636">
        <f t="shared" si="1"/>
        <v>25</v>
      </c>
      <c r="H62" s="680" t="s">
        <v>940</v>
      </c>
      <c r="I62" s="440"/>
      <c r="J62" s="706"/>
    </row>
    <row r="63" spans="1:23" s="556" customFormat="1" ht="15" customHeight="1" x14ac:dyDescent="0.3">
      <c r="A63" s="2551"/>
      <c r="B63" s="2554"/>
      <c r="C63" s="636" t="str">
        <f t="shared" si="0"/>
        <v>FE26</v>
      </c>
      <c r="D63" s="636" t="s">
        <v>41</v>
      </c>
      <c r="E63" s="636" t="s">
        <v>40</v>
      </c>
      <c r="F63" s="636" t="s">
        <v>72</v>
      </c>
      <c r="G63" s="636">
        <f t="shared" si="1"/>
        <v>26</v>
      </c>
      <c r="H63" s="680" t="s">
        <v>227</v>
      </c>
      <c r="I63" s="440"/>
      <c r="J63" s="706"/>
    </row>
    <row r="64" spans="1:23" s="556" customFormat="1" ht="28.8" x14ac:dyDescent="0.3">
      <c r="A64" s="2551"/>
      <c r="B64" s="2554"/>
      <c r="C64" s="636" t="str">
        <f t="shared" si="0"/>
        <v>FE27</v>
      </c>
      <c r="D64" s="636" t="s">
        <v>41</v>
      </c>
      <c r="E64" s="636" t="s">
        <v>40</v>
      </c>
      <c r="F64" s="636" t="s">
        <v>72</v>
      </c>
      <c r="G64" s="636">
        <f t="shared" si="1"/>
        <v>27</v>
      </c>
      <c r="H64" s="680" t="s">
        <v>992</v>
      </c>
      <c r="I64" s="440"/>
      <c r="J64" s="706"/>
    </row>
    <row r="65" spans="1:78" s="556" customFormat="1" x14ac:dyDescent="0.3">
      <c r="A65" s="2551"/>
      <c r="B65" s="2554"/>
      <c r="C65" s="636" t="str">
        <f>IF('0.Basic Project Data'!H25=No,"fff",CONCATENATE(D65,E65,G65))</f>
        <v>FE28</v>
      </c>
      <c r="D65" s="636" t="s">
        <v>41</v>
      </c>
      <c r="E65" s="636" t="s">
        <v>40</v>
      </c>
      <c r="F65" s="636" t="s">
        <v>72</v>
      </c>
      <c r="G65" s="636">
        <f t="shared" si="1"/>
        <v>28</v>
      </c>
      <c r="H65" s="680" t="str">
        <f>IF(C65="FFF",0,"Will the project become financially viable with the required government support measures?")</f>
        <v>Will the project become financially viable with the required government support measures?</v>
      </c>
      <c r="I65" s="440"/>
      <c r="J65" s="706"/>
    </row>
    <row r="66" spans="1:78" s="556" customFormat="1" ht="28.8" x14ac:dyDescent="0.3">
      <c r="A66" s="2551"/>
      <c r="B66" s="2554"/>
      <c r="C66" s="636" t="str">
        <f>IF('0.Basic Project Data'!H25=No,"fff",CONCATENATE(D66,E66,G66))</f>
        <v>FE29</v>
      </c>
      <c r="D66" s="636" t="s">
        <v>41</v>
      </c>
      <c r="E66" s="636" t="s">
        <v>40</v>
      </c>
      <c r="F66" s="636" t="s">
        <v>72</v>
      </c>
      <c r="G66" s="636">
        <f t="shared" ref="G66:G75" si="7">G65+1</f>
        <v>29</v>
      </c>
      <c r="H66" s="680" t="str">
        <f>IF(C66="FFF",0,"The nature and level of government support measures is considered reasonable in comparison to similar projects in the country or regionally?")</f>
        <v>The nature and level of government support measures is considered reasonable in comparison to similar projects in the country or regionally?</v>
      </c>
      <c r="I66" s="440"/>
      <c r="J66" s="706"/>
    </row>
    <row r="67" spans="1:78" s="556" customFormat="1" ht="28.8" x14ac:dyDescent="0.3">
      <c r="A67" s="2551"/>
      <c r="B67" s="2554"/>
      <c r="C67" s="636" t="str">
        <f t="shared" ref="C67:C75" si="8">CONCATENATE(D67,E67,G67)</f>
        <v>FF1</v>
      </c>
      <c r="D67" s="636" t="s">
        <v>41</v>
      </c>
      <c r="E67" s="636" t="s">
        <v>41</v>
      </c>
      <c r="F67" s="636" t="s">
        <v>73</v>
      </c>
      <c r="G67" s="636">
        <v>1</v>
      </c>
      <c r="H67" s="680" t="s">
        <v>941</v>
      </c>
      <c r="I67" s="440"/>
      <c r="J67" s="706"/>
      <c r="L67" s="556" t="str">
        <f>'Data Analysis'!C157</f>
        <v>User Charges</v>
      </c>
      <c r="M67" s="556" t="str">
        <f>'Data Analysis'!C158</f>
        <v>Availability Payments</v>
      </c>
      <c r="N67" s="556" t="str">
        <f>'Data Analysis'!C159</f>
        <v>Hybrid Payments</v>
      </c>
      <c r="P67" s="556" t="str">
        <f>'0.Basic Project Data'!H22</f>
        <v>Hybrid Payments</v>
      </c>
    </row>
    <row r="68" spans="1:78" s="556" customFormat="1" ht="28.8" x14ac:dyDescent="0.3">
      <c r="A68" s="2551"/>
      <c r="B68" s="2554"/>
      <c r="C68" s="636" t="str">
        <f t="shared" si="8"/>
        <v>FF2</v>
      </c>
      <c r="D68" s="636" t="s">
        <v>41</v>
      </c>
      <c r="E68" s="636" t="s">
        <v>41</v>
      </c>
      <c r="F68" s="636" t="s">
        <v>73</v>
      </c>
      <c r="G68" s="636">
        <f t="shared" si="7"/>
        <v>2</v>
      </c>
      <c r="H68" s="950" t="s">
        <v>942</v>
      </c>
      <c r="I68" s="440"/>
      <c r="J68" s="706"/>
      <c r="L68" s="556" t="str">
        <f>C67</f>
        <v>FF1</v>
      </c>
      <c r="M68" s="556" t="str">
        <f>C68</f>
        <v>FF2</v>
      </c>
      <c r="N68" s="556" t="str">
        <f>C69</f>
        <v>FF3</v>
      </c>
      <c r="P68" s="556" t="str">
        <f>HLOOKUP(P$67,$L$67:$N$71,2,0)</f>
        <v>FF3</v>
      </c>
    </row>
    <row r="69" spans="1:78" s="556" customFormat="1" ht="43.2" x14ac:dyDescent="0.3">
      <c r="A69" s="2551"/>
      <c r="B69" s="2554"/>
      <c r="C69" s="636" t="str">
        <f t="shared" si="8"/>
        <v>FF3</v>
      </c>
      <c r="D69" s="636" t="s">
        <v>41</v>
      </c>
      <c r="E69" s="636" t="s">
        <v>41</v>
      </c>
      <c r="F69" s="636" t="s">
        <v>73</v>
      </c>
      <c r="G69" s="636">
        <f t="shared" si="7"/>
        <v>3</v>
      </c>
      <c r="H69" s="950" t="s">
        <v>943</v>
      </c>
      <c r="I69" s="440"/>
      <c r="J69" s="706"/>
      <c r="L69" s="556" t="str">
        <f>C70</f>
        <v>FF4</v>
      </c>
      <c r="M69" s="556" t="str">
        <f t="shared" ref="M69:N71" si="9">L69</f>
        <v>FF4</v>
      </c>
      <c r="N69" s="556" t="str">
        <f t="shared" si="9"/>
        <v>FF4</v>
      </c>
      <c r="P69" s="556" t="str">
        <f>HLOOKUP(P$67,$L$67:$N$71,3,0)</f>
        <v>FF4</v>
      </c>
    </row>
    <row r="70" spans="1:78" s="556" customFormat="1" ht="28.8" x14ac:dyDescent="0.3">
      <c r="A70" s="2551"/>
      <c r="B70" s="2554"/>
      <c r="C70" s="636" t="str">
        <f t="shared" si="8"/>
        <v>FF4</v>
      </c>
      <c r="D70" s="636" t="s">
        <v>41</v>
      </c>
      <c r="E70" s="636" t="s">
        <v>41</v>
      </c>
      <c r="F70" s="636" t="s">
        <v>73</v>
      </c>
      <c r="G70" s="636">
        <f t="shared" si="7"/>
        <v>4</v>
      </c>
      <c r="H70" s="680" t="s">
        <v>641</v>
      </c>
      <c r="I70" s="440"/>
      <c r="J70" s="706"/>
      <c r="L70" s="556" t="str">
        <f>C71</f>
        <v>FF5</v>
      </c>
      <c r="M70" s="556" t="str">
        <f t="shared" si="9"/>
        <v>FF5</v>
      </c>
      <c r="N70" s="556" t="str">
        <f t="shared" si="9"/>
        <v>FF5</v>
      </c>
      <c r="P70" s="556" t="str">
        <f>HLOOKUP(P$67,$L$67:$N$71,4,0)</f>
        <v>FF5</v>
      </c>
    </row>
    <row r="71" spans="1:78" s="556" customFormat="1" ht="28.8" x14ac:dyDescent="0.3">
      <c r="A71" s="2551"/>
      <c r="B71" s="2554"/>
      <c r="C71" s="636" t="str">
        <f t="shared" si="8"/>
        <v>FF5</v>
      </c>
      <c r="D71" s="636" t="s">
        <v>41</v>
      </c>
      <c r="E71" s="636" t="s">
        <v>41</v>
      </c>
      <c r="F71" s="636" t="s">
        <v>73</v>
      </c>
      <c r="G71" s="636">
        <f t="shared" si="7"/>
        <v>5</v>
      </c>
      <c r="H71" s="680" t="s">
        <v>797</v>
      </c>
      <c r="I71" s="440"/>
      <c r="J71" s="706"/>
      <c r="L71" s="556" t="str">
        <f>C72</f>
        <v>FF6</v>
      </c>
      <c r="M71" s="556" t="str">
        <f t="shared" si="9"/>
        <v>FF6</v>
      </c>
      <c r="N71" s="556" t="str">
        <f t="shared" si="9"/>
        <v>FF6</v>
      </c>
      <c r="P71" s="556" t="str">
        <f>HLOOKUP(P$67,$L$67:$N$71,5,0)</f>
        <v>FF6</v>
      </c>
    </row>
    <row r="72" spans="1:78" s="556" customFormat="1" ht="28.8" x14ac:dyDescent="0.3">
      <c r="A72" s="2551"/>
      <c r="B72" s="2554"/>
      <c r="C72" s="636" t="str">
        <f t="shared" si="8"/>
        <v>FF6</v>
      </c>
      <c r="D72" s="636" t="s">
        <v>41</v>
      </c>
      <c r="E72" s="636" t="s">
        <v>41</v>
      </c>
      <c r="F72" s="636" t="s">
        <v>73</v>
      </c>
      <c r="G72" s="636">
        <f t="shared" si="7"/>
        <v>6</v>
      </c>
      <c r="H72" s="680" t="s">
        <v>944</v>
      </c>
      <c r="I72" s="440"/>
      <c r="J72" s="706"/>
    </row>
    <row r="73" spans="1:78" s="556" customFormat="1" ht="43.2" x14ac:dyDescent="0.3">
      <c r="A73" s="2551"/>
      <c r="B73" s="2554"/>
      <c r="C73" s="636" t="str">
        <f t="shared" si="8"/>
        <v>FF7</v>
      </c>
      <c r="D73" s="636" t="s">
        <v>41</v>
      </c>
      <c r="E73" s="636" t="s">
        <v>41</v>
      </c>
      <c r="F73" s="636" t="s">
        <v>73</v>
      </c>
      <c r="G73" s="636">
        <f t="shared" si="7"/>
        <v>7</v>
      </c>
      <c r="H73" s="680" t="s">
        <v>945</v>
      </c>
      <c r="I73" s="440"/>
      <c r="J73" s="706"/>
    </row>
    <row r="74" spans="1:78" s="556" customFormat="1" ht="28.8" x14ac:dyDescent="0.3">
      <c r="A74" s="2551"/>
      <c r="B74" s="2554"/>
      <c r="C74" s="636" t="str">
        <f t="shared" si="8"/>
        <v>FF8</v>
      </c>
      <c r="D74" s="636" t="s">
        <v>41</v>
      </c>
      <c r="E74" s="636" t="s">
        <v>41</v>
      </c>
      <c r="F74" s="636" t="s">
        <v>73</v>
      </c>
      <c r="G74" s="636">
        <f t="shared" si="7"/>
        <v>8</v>
      </c>
      <c r="H74" s="951" t="s">
        <v>132</v>
      </c>
      <c r="I74" s="440"/>
      <c r="J74" s="706"/>
    </row>
    <row r="75" spans="1:78" s="556" customFormat="1" ht="15.75" customHeight="1" thickBot="1" x14ac:dyDescent="0.35">
      <c r="A75" s="2552"/>
      <c r="B75" s="2555"/>
      <c r="C75" s="636" t="str">
        <f t="shared" si="8"/>
        <v>FF9</v>
      </c>
      <c r="D75" s="636" t="s">
        <v>41</v>
      </c>
      <c r="E75" s="636" t="s">
        <v>41</v>
      </c>
      <c r="F75" s="636" t="s">
        <v>73</v>
      </c>
      <c r="G75" s="636">
        <f t="shared" si="7"/>
        <v>9</v>
      </c>
      <c r="H75" s="680"/>
      <c r="I75" s="440"/>
      <c r="J75" s="706"/>
    </row>
    <row r="76" spans="1:78" s="556" customFormat="1" ht="15" customHeight="1" x14ac:dyDescent="0.3">
      <c r="A76" s="2528" t="s">
        <v>176</v>
      </c>
      <c r="B76" s="2531" t="s">
        <v>329</v>
      </c>
      <c r="C76" s="532" t="str">
        <f t="shared" ref="C76:C85" si="10">CONCATENATE(D76,E76,G76)</f>
        <v>RAA1</v>
      </c>
      <c r="D76" s="532" t="s">
        <v>460</v>
      </c>
      <c r="E76" s="532" t="s">
        <v>33</v>
      </c>
      <c r="F76" s="532" t="s">
        <v>107</v>
      </c>
      <c r="G76" s="532">
        <v>1</v>
      </c>
      <c r="H76" s="647" t="s">
        <v>798</v>
      </c>
      <c r="I76" s="440"/>
      <c r="J76" s="707" t="s">
        <v>168</v>
      </c>
      <c r="R76" s="704" t="s">
        <v>106</v>
      </c>
      <c r="Z76" s="704" t="s">
        <v>169</v>
      </c>
      <c r="AH76" s="704" t="s">
        <v>161</v>
      </c>
      <c r="AP76" s="704" t="s">
        <v>170</v>
      </c>
      <c r="AX76" s="704" t="s">
        <v>164</v>
      </c>
      <c r="AY76" s="704"/>
      <c r="AZ76" s="704"/>
      <c r="BF76" s="704" t="s">
        <v>171</v>
      </c>
      <c r="BN76" s="704" t="s">
        <v>172</v>
      </c>
      <c r="BV76" s="704" t="s">
        <v>174</v>
      </c>
    </row>
    <row r="77" spans="1:78" s="556" customFormat="1" ht="15" customHeight="1" x14ac:dyDescent="0.3">
      <c r="A77" s="2529"/>
      <c r="B77" s="2532"/>
      <c r="C77" s="532" t="str">
        <f t="shared" si="10"/>
        <v>RAA2</v>
      </c>
      <c r="D77" s="532" t="s">
        <v>460</v>
      </c>
      <c r="E77" s="532" t="s">
        <v>33</v>
      </c>
      <c r="F77" s="532" t="s">
        <v>107</v>
      </c>
      <c r="G77" s="532">
        <f t="shared" ref="G77:G85" si="11">G76+1</f>
        <v>2</v>
      </c>
      <c r="H77" s="647" t="s">
        <v>383</v>
      </c>
      <c r="I77" s="440"/>
      <c r="J77" s="706" t="str">
        <f>'Data Analysis'!C176</f>
        <v>Private Sector</v>
      </c>
      <c r="K77" s="556" t="str">
        <f>'Data Analysis'!C175</f>
        <v>Public Sector</v>
      </c>
      <c r="L77" s="556" t="str">
        <f>'Data Analysis'!C177</f>
        <v>N/A</v>
      </c>
      <c r="N77" s="556" t="str">
        <f>'0.Basic Project Data'!$H$36</f>
        <v>Public Sector</v>
      </c>
      <c r="V77" s="556" t="str">
        <f>'0.Basic Project Data'!$H$13</f>
        <v>Construction, Operations and Maintenance</v>
      </c>
      <c r="AD77" s="556" t="str">
        <f>'0.Basic Project Data'!$H$13</f>
        <v>Construction, Operations and Maintenance</v>
      </c>
      <c r="AL77" s="556" t="str">
        <f>'0.Basic Project Data'!$H$13</f>
        <v>Construction, Operations and Maintenance</v>
      </c>
      <c r="AT77" s="556" t="str">
        <f>'0.Basic Project Data'!$H$22</f>
        <v>Hybrid Payments</v>
      </c>
      <c r="BB77" s="556" t="str">
        <f>'0.Basic Project Data'!$H$22</f>
        <v>Hybrid Payments</v>
      </c>
      <c r="BJ77" s="556" t="str">
        <f>'0.Basic Project Data'!$H$13</f>
        <v>Construction, Operations and Maintenance</v>
      </c>
      <c r="BK77" s="556" t="str">
        <f>'0.Basic Project Data'!$H$22</f>
        <v>Hybrid Payments</v>
      </c>
      <c r="BR77" s="556" t="str">
        <f>'0.Basic Project Data'!$H$13</f>
        <v>Construction, Operations and Maintenance</v>
      </c>
      <c r="BZ77" s="556" t="str">
        <f>'0.Basic Project Data'!$H$13</f>
        <v>Construction, Operations and Maintenance</v>
      </c>
    </row>
    <row r="78" spans="1:78" s="556" customFormat="1" ht="15" customHeight="1" x14ac:dyDescent="0.3">
      <c r="A78" s="2529"/>
      <c r="B78" s="2532"/>
      <c r="C78" s="532" t="str">
        <f t="shared" si="10"/>
        <v>RAA3</v>
      </c>
      <c r="D78" s="532" t="s">
        <v>460</v>
      </c>
      <c r="E78" s="532" t="s">
        <v>33</v>
      </c>
      <c r="F78" s="532" t="s">
        <v>107</v>
      </c>
      <c r="G78" s="532">
        <f t="shared" si="11"/>
        <v>3</v>
      </c>
      <c r="H78" s="647" t="s">
        <v>799</v>
      </c>
      <c r="I78" s="440"/>
      <c r="J78" s="706" t="str">
        <f>C78</f>
        <v>RAA3</v>
      </c>
      <c r="K78" s="556" t="str">
        <f t="shared" ref="K78:K84" si="12">C76</f>
        <v>RAA1</v>
      </c>
      <c r="L78" s="556" t="str">
        <f t="shared" ref="L78:L84" si="13">$C$149</f>
        <v>FFF</v>
      </c>
      <c r="N78" s="556" t="s">
        <v>162</v>
      </c>
      <c r="R78" s="556" t="str">
        <f>'Data Analysis'!$C$163</f>
        <v>Construction</v>
      </c>
      <c r="S78" s="556" t="str">
        <f>'Data Analysis'!$C$164</f>
        <v>Operations and Maintenance</v>
      </c>
      <c r="T78" s="556" t="str">
        <f>'Data Analysis'!$C$162</f>
        <v>Construction, Operations and Maintenance</v>
      </c>
      <c r="V78" s="556" t="s">
        <v>162</v>
      </c>
      <c r="Z78" s="556" t="str">
        <f>'Data Analysis'!$C$163</f>
        <v>Construction</v>
      </c>
      <c r="AA78" s="556" t="str">
        <f>'Data Analysis'!$C$164</f>
        <v>Operations and Maintenance</v>
      </c>
      <c r="AB78" s="556" t="str">
        <f>'Data Analysis'!$C$162</f>
        <v>Construction, Operations and Maintenance</v>
      </c>
      <c r="AD78" s="556" t="s">
        <v>162</v>
      </c>
      <c r="AH78" s="556" t="str">
        <f>'Data Analysis'!$C$163</f>
        <v>Construction</v>
      </c>
      <c r="AI78" s="556" t="str">
        <f>'Data Analysis'!$C$164</f>
        <v>Operations and Maintenance</v>
      </c>
      <c r="AJ78" s="556" t="str">
        <f>'Data Analysis'!$C$162</f>
        <v>Construction, Operations and Maintenance</v>
      </c>
      <c r="AL78" s="556" t="s">
        <v>162</v>
      </c>
      <c r="AP78" s="556" t="str">
        <f>'Data Analysis'!$C$157</f>
        <v>User Charges</v>
      </c>
      <c r="AQ78" s="556" t="str">
        <f>'Data Analysis'!$C$158</f>
        <v>Availability Payments</v>
      </c>
      <c r="AR78" s="556" t="str">
        <f>'Data Analysis'!$C$159</f>
        <v>Hybrid Payments</v>
      </c>
      <c r="AT78" s="556" t="s">
        <v>162</v>
      </c>
      <c r="AX78" s="556" t="str">
        <f>'Data Analysis'!$C$157</f>
        <v>User Charges</v>
      </c>
      <c r="AY78" s="556" t="str">
        <f>'Data Analysis'!$C$158</f>
        <v>Availability Payments</v>
      </c>
      <c r="AZ78" s="556" t="str">
        <f>'Data Analysis'!$C$159</f>
        <v>Hybrid Payments</v>
      </c>
      <c r="BB78" s="556" t="s">
        <v>162</v>
      </c>
      <c r="BF78" s="556" t="str">
        <f>'Data Analysis'!$C$163</f>
        <v>Construction</v>
      </c>
      <c r="BG78" s="556" t="str">
        <f>'Data Analysis'!$C$164</f>
        <v>Operations and Maintenance</v>
      </c>
      <c r="BH78" s="556" t="str">
        <f>'Data Analysis'!$C$162</f>
        <v>Construction, Operations and Maintenance</v>
      </c>
      <c r="BJ78" s="556" t="s">
        <v>162</v>
      </c>
      <c r="BN78" s="556" t="str">
        <f>'Data Analysis'!$C$163</f>
        <v>Construction</v>
      </c>
      <c r="BO78" s="556" t="str">
        <f>'Data Analysis'!$C$164</f>
        <v>Operations and Maintenance</v>
      </c>
      <c r="BP78" s="556" t="str">
        <f>'Data Analysis'!$C$162</f>
        <v>Construction, Operations and Maintenance</v>
      </c>
      <c r="BR78" s="556" t="s">
        <v>162</v>
      </c>
      <c r="BV78" s="556" t="str">
        <f>'Data Analysis'!$C$163</f>
        <v>Construction</v>
      </c>
      <c r="BW78" s="556" t="str">
        <f>'Data Analysis'!$C$164</f>
        <v>Operations and Maintenance</v>
      </c>
      <c r="BX78" s="556" t="str">
        <f>'Data Analysis'!$C$162</f>
        <v>Construction, Operations and Maintenance</v>
      </c>
      <c r="BZ78" s="556" t="s">
        <v>162</v>
      </c>
    </row>
    <row r="79" spans="1:78" s="556" customFormat="1" x14ac:dyDescent="0.3">
      <c r="A79" s="2529"/>
      <c r="B79" s="2532"/>
      <c r="C79" s="532" t="str">
        <f t="shared" si="10"/>
        <v>RAA4</v>
      </c>
      <c r="D79" s="532" t="s">
        <v>460</v>
      </c>
      <c r="E79" s="532" t="s">
        <v>33</v>
      </c>
      <c r="F79" s="532" t="s">
        <v>107</v>
      </c>
      <c r="G79" s="532">
        <f t="shared" si="11"/>
        <v>4</v>
      </c>
      <c r="H79" s="647" t="s">
        <v>800</v>
      </c>
      <c r="I79" s="440"/>
      <c r="J79" s="706" t="str">
        <f>C79</f>
        <v>RAA4</v>
      </c>
      <c r="K79" s="556" t="str">
        <f t="shared" si="12"/>
        <v>RAA2</v>
      </c>
      <c r="L79" s="556" t="str">
        <f t="shared" si="13"/>
        <v>FFF</v>
      </c>
      <c r="N79" s="556" t="str">
        <f>IF($N$77=$J$77,J78,IF($N$77=$K$77,K78,L78))</f>
        <v>RAA1</v>
      </c>
      <c r="R79" s="556" t="str">
        <f>C92</f>
        <v>RAB1</v>
      </c>
      <c r="S79" s="556" t="str">
        <f>$C$149</f>
        <v>FFF</v>
      </c>
      <c r="T79" s="556" t="str">
        <f>C92</f>
        <v>RAB1</v>
      </c>
      <c r="V79" s="556" t="str">
        <f>IF($V$77=$R$78,R79,IF($V$77=$S$78,S79,T79))</f>
        <v>RAB1</v>
      </c>
      <c r="Z79" s="556" t="str">
        <f t="shared" ref="Z79:Z84" si="14">C96</f>
        <v>RAC1</v>
      </c>
      <c r="AA79" s="556" t="str">
        <f t="shared" ref="AA79:AA84" si="15">$C$149</f>
        <v>FFF</v>
      </c>
      <c r="AB79" s="556" t="str">
        <f t="shared" ref="AB79:AB84" si="16">C96</f>
        <v>RAC1</v>
      </c>
      <c r="AD79" s="556" t="str">
        <f>IF($AD$77=$Z$78,Z79,IF($AD$77=$AA$78,AA79,AB79))</f>
        <v>RAC1</v>
      </c>
      <c r="AH79" s="556" t="str">
        <f t="shared" ref="AH79:AH81" si="17">$C$149</f>
        <v>FFF</v>
      </c>
      <c r="AI79" s="556" t="str">
        <f>C102</f>
        <v>RAD1</v>
      </c>
      <c r="AJ79" s="556" t="str">
        <f>C102</f>
        <v>RAD1</v>
      </c>
      <c r="AL79" s="556" t="str">
        <f>IF($AL$77=$AH$78,AH79,IF($AL$77=$AI$78,AI79,AJ79))</f>
        <v>RAD1</v>
      </c>
      <c r="AP79" s="556" t="str">
        <f t="shared" ref="AP79:AP84" si="18">C105</f>
        <v>RAE1</v>
      </c>
      <c r="AQ79" s="556" t="str">
        <f>C111</f>
        <v>RAF1</v>
      </c>
      <c r="AR79" s="556" t="str">
        <f t="shared" ref="AR79:AR88" si="19">C116</f>
        <v>RAG2</v>
      </c>
      <c r="AT79" s="556" t="str">
        <f>IF('0.Basic Project Data'!H13='Data Analysis'!C163,Questions!$C$149,IF($AT$77=$AP$78,AP79,IF($AT$77=$AQ$78,AQ79,AR79)))</f>
        <v>RAG2</v>
      </c>
      <c r="AX79" s="556" t="str">
        <f>C131</f>
        <v>RAI1</v>
      </c>
      <c r="AY79" s="556" t="str">
        <f>C131</f>
        <v>RAI1</v>
      </c>
      <c r="AZ79" s="556" t="str">
        <f>C131</f>
        <v>RAI1</v>
      </c>
      <c r="BB79" s="556" t="str">
        <f>IF(AND('Data Analysis'!F312=1,'Data Analysis'!F321=1),Questions!C149,IF($BB$77=$AX$78,AX79,IF($BB$77=$AY$78,AY79,AZ79)))</f>
        <v>RAI1</v>
      </c>
      <c r="BF79" s="556" t="str">
        <f>C136</f>
        <v>PAA1</v>
      </c>
      <c r="BG79" s="556" t="str">
        <f>C136</f>
        <v>PAA1</v>
      </c>
      <c r="BH79" s="556" t="str">
        <f>C136</f>
        <v>PAA1</v>
      </c>
      <c r="BJ79" s="556" t="str">
        <f>IF(OR($BJ$77=$BF$78,$BJ$77=$BG$78,$BJ$77=$BH$78),BF79)</f>
        <v>PAA1</v>
      </c>
      <c r="BN79" s="556" t="str">
        <f>C141</f>
        <v>PAB1</v>
      </c>
      <c r="BO79" s="556" t="str">
        <f>C141</f>
        <v>PAB1</v>
      </c>
      <c r="BP79" s="556" t="str">
        <f>C141</f>
        <v>PAB1</v>
      </c>
      <c r="BR79" s="556" t="str">
        <f>IF(OR($BR$77=$BN$78,$BR$77=$BO$78,$BR$77=$BP$78),BN79,$C$149)</f>
        <v>PAB1</v>
      </c>
      <c r="BV79" s="556" t="str">
        <f>C144</f>
        <v>PAC1</v>
      </c>
      <c r="BW79" s="556" t="str">
        <f>C144</f>
        <v>PAC1</v>
      </c>
      <c r="BX79" s="556" t="str">
        <f>C144</f>
        <v>PAC1</v>
      </c>
      <c r="BZ79" s="556" t="str">
        <f>IF(OR($BZ$77=$BV$78,$BZ$77=$BW$78,$BZ$77=$BX$78),BV79,$C$149)</f>
        <v>PAC1</v>
      </c>
    </row>
    <row r="80" spans="1:78" s="556" customFormat="1" x14ac:dyDescent="0.3">
      <c r="A80" s="2529"/>
      <c r="B80" s="2532"/>
      <c r="C80" s="532" t="str">
        <f t="shared" si="10"/>
        <v>RAA5</v>
      </c>
      <c r="D80" s="532" t="s">
        <v>460</v>
      </c>
      <c r="E80" s="532" t="s">
        <v>33</v>
      </c>
      <c r="F80" s="532" t="s">
        <v>107</v>
      </c>
      <c r="G80" s="532">
        <f t="shared" si="11"/>
        <v>5</v>
      </c>
      <c r="H80" s="646" t="s">
        <v>801</v>
      </c>
      <c r="I80" s="440"/>
      <c r="J80" s="706" t="str">
        <f>C80</f>
        <v>RAA5</v>
      </c>
      <c r="K80" s="556" t="str">
        <f t="shared" si="12"/>
        <v>RAA3</v>
      </c>
      <c r="L80" s="556" t="str">
        <f t="shared" si="13"/>
        <v>FFF</v>
      </c>
      <c r="N80" s="556" t="str">
        <f t="shared" ref="N80:N85" si="20">HLOOKUP(N79,J78:L84,2,FALSE)</f>
        <v>RAA2</v>
      </c>
      <c r="R80" s="556" t="str">
        <f>C93</f>
        <v>RAB2</v>
      </c>
      <c r="S80" s="556" t="str">
        <f>$C$149</f>
        <v>FFF</v>
      </c>
      <c r="T80" s="556" t="str">
        <f>C93</f>
        <v>RAB2</v>
      </c>
      <c r="V80" s="556" t="str">
        <f t="shared" ref="V80:V82" si="21">IF($V$77=$R$78,R80,IF($V$77=$S$78,S80,T80))</f>
        <v>RAB2</v>
      </c>
      <c r="Z80" s="556" t="str">
        <f t="shared" si="14"/>
        <v>RAC2</v>
      </c>
      <c r="AA80" s="556" t="str">
        <f t="shared" si="15"/>
        <v>FFF</v>
      </c>
      <c r="AB80" s="556" t="str">
        <f t="shared" si="16"/>
        <v>RAC2</v>
      </c>
      <c r="AD80" s="556" t="str">
        <f t="shared" ref="AD80:AD84" si="22">IF($AD$77=$Z$78,Z80,IF($AD$77=$AA$78,AA80,AB80))</f>
        <v>RAC2</v>
      </c>
      <c r="AH80" s="556" t="str">
        <f t="shared" si="17"/>
        <v>FFF</v>
      </c>
      <c r="AI80" s="556" t="str">
        <f>C103</f>
        <v>RAD2</v>
      </c>
      <c r="AJ80" s="556" t="str">
        <f>C103</f>
        <v>RAD2</v>
      </c>
      <c r="AL80" s="556" t="str">
        <f t="shared" ref="AL80:AL81" si="23">IF($AL$77=$AH$78,AH80,IF($AL$77=$AI$78,AI80,AJ80))</f>
        <v>RAD2</v>
      </c>
      <c r="AP80" s="556" t="str">
        <f t="shared" si="18"/>
        <v>RAE2</v>
      </c>
      <c r="AQ80" s="556" t="str">
        <f>C112</f>
        <v>RAF2</v>
      </c>
      <c r="AR80" s="556" t="str">
        <f t="shared" si="19"/>
        <v>RAG3</v>
      </c>
      <c r="AT80" s="556" t="str">
        <f>IF('0.Basic Project Data'!H13='Data Analysis'!C163,Questions!$C$149,IF($AT$77=$AP$78,AP80,IF($AT$77=$AQ$78,AQ80,AR80)))</f>
        <v>RAG3</v>
      </c>
      <c r="AX80" s="556" t="str">
        <f>C132</f>
        <v>RAI2</v>
      </c>
      <c r="AY80" s="556" t="str">
        <f>C132</f>
        <v>RAI2</v>
      </c>
      <c r="AZ80" s="556" t="str">
        <f>C132</f>
        <v>RAI2</v>
      </c>
      <c r="BB80" s="556" t="str">
        <f>IF($BB$77=$AX$78,AX80,IF($BB$77=$AY$78,AY80,AZ80))</f>
        <v>RAI2</v>
      </c>
      <c r="BF80" s="556" t="str">
        <f>C137</f>
        <v>PAA2</v>
      </c>
      <c r="BG80" s="556" t="str">
        <f>C137</f>
        <v>PAA2</v>
      </c>
      <c r="BH80" s="556" t="str">
        <f>C137</f>
        <v>PAA2</v>
      </c>
      <c r="BJ80" s="556" t="str">
        <f>IF(OR($BJ$77=$BF$78,$BJ$77=$BH$78),BF80,IF($BJ$77=$BG$78,BF80))</f>
        <v>PAA2</v>
      </c>
      <c r="BN80" s="556" t="str">
        <f>C142</f>
        <v>PAB2</v>
      </c>
      <c r="BO80" s="556" t="str">
        <f>C142</f>
        <v>PAB2</v>
      </c>
      <c r="BP80" s="556" t="str">
        <f>C142</f>
        <v>PAB2</v>
      </c>
      <c r="BR80" s="556" t="str">
        <f>IF(OR($BR$77=$BN$78,$BR$77=$BO$78,$BR$77=$BP$78),BN80,$C$149)</f>
        <v>PAB2</v>
      </c>
      <c r="BV80" s="556" t="str">
        <f>C145</f>
        <v>PAC2</v>
      </c>
      <c r="BW80" s="556" t="str">
        <f>C145</f>
        <v>PAC2</v>
      </c>
      <c r="BX80" s="556" t="str">
        <f>C145</f>
        <v>PAC2</v>
      </c>
      <c r="BZ80" s="556" t="str">
        <f>IF(OR($BZ$77=$BV$78,$BZ$77=$BW$78,$BZ$77=$BX$78),BV80,$C$149)</f>
        <v>PAC2</v>
      </c>
    </row>
    <row r="81" spans="1:78" s="556" customFormat="1" x14ac:dyDescent="0.3">
      <c r="A81" s="2529"/>
      <c r="B81" s="2532"/>
      <c r="C81" s="532" t="str">
        <f t="shared" si="10"/>
        <v>RAA6</v>
      </c>
      <c r="D81" s="532" t="s">
        <v>460</v>
      </c>
      <c r="E81" s="532" t="s">
        <v>33</v>
      </c>
      <c r="F81" s="532" t="s">
        <v>107</v>
      </c>
      <c r="G81" s="532">
        <f t="shared" si="11"/>
        <v>6</v>
      </c>
      <c r="H81" s="646" t="s">
        <v>384</v>
      </c>
      <c r="I81" s="440"/>
      <c r="J81" s="706" t="str">
        <f>C81</f>
        <v>RAA6</v>
      </c>
      <c r="K81" s="556" t="str">
        <f t="shared" si="12"/>
        <v>RAA4</v>
      </c>
      <c r="L81" s="556" t="str">
        <f t="shared" si="13"/>
        <v>FFF</v>
      </c>
      <c r="N81" s="556" t="str">
        <f t="shared" si="20"/>
        <v>RAA3</v>
      </c>
      <c r="R81" s="556" t="str">
        <f>C94</f>
        <v>RAB3</v>
      </c>
      <c r="S81" s="556" t="str">
        <f>$C$149</f>
        <v>FFF</v>
      </c>
      <c r="T81" s="556" t="str">
        <f>C94</f>
        <v>RAB3</v>
      </c>
      <c r="V81" s="556" t="str">
        <f t="shared" si="21"/>
        <v>RAB3</v>
      </c>
      <c r="Z81" s="556" t="str">
        <f t="shared" si="14"/>
        <v>RAC3</v>
      </c>
      <c r="AA81" s="556" t="str">
        <f t="shared" si="15"/>
        <v>FFF</v>
      </c>
      <c r="AB81" s="556" t="str">
        <f t="shared" si="16"/>
        <v>RAC3</v>
      </c>
      <c r="AD81" s="556" t="str">
        <f t="shared" si="22"/>
        <v>RAC3</v>
      </c>
      <c r="AH81" s="556" t="str">
        <f t="shared" si="17"/>
        <v>FFF</v>
      </c>
      <c r="AI81" s="556" t="str">
        <f>C104</f>
        <v>RAD3</v>
      </c>
      <c r="AJ81" s="556" t="str">
        <f>C104</f>
        <v>RAD3</v>
      </c>
      <c r="AL81" s="556" t="str">
        <f t="shared" si="23"/>
        <v>RAD3</v>
      </c>
      <c r="AP81" s="556" t="str">
        <f t="shared" si="18"/>
        <v>RAE3</v>
      </c>
      <c r="AQ81" s="556" t="str">
        <f>C113</f>
        <v>RAF3</v>
      </c>
      <c r="AR81" s="556" t="str">
        <f t="shared" si="19"/>
        <v>RAG4</v>
      </c>
      <c r="AT81" s="556" t="str">
        <f>IF('0.Basic Project Data'!H13='Data Analysis'!C163,Questions!$C$149,IF($AT$77=$AP$78,AP81,IF($AT$77=$AQ$78,AQ81,AR81)))</f>
        <v>RAG4</v>
      </c>
      <c r="AX81" s="556" t="str">
        <f>C133</f>
        <v>RAI3</v>
      </c>
      <c r="AY81" s="556" t="str">
        <f>C133</f>
        <v>RAI3</v>
      </c>
      <c r="AZ81" s="556" t="str">
        <f>C133</f>
        <v>RAI3</v>
      </c>
      <c r="BB81" s="556" t="str">
        <f>IF($BB$77=$AX$78,AX81,IF($BB$77=$AY$78,AY81,AZ81))</f>
        <v>RAI3</v>
      </c>
      <c r="BF81" s="556" t="str">
        <f>C138</f>
        <v>PAA3</v>
      </c>
      <c r="BG81" s="556" t="str">
        <f>C138</f>
        <v>PAA3</v>
      </c>
      <c r="BH81" s="556" t="str">
        <f>C138</f>
        <v>PAA3</v>
      </c>
      <c r="BJ81" s="556" t="str">
        <f>IF(OR($BJ$77=$BF$78,$BJ$77=$BH$78),BF81,IF($BJ$77=$BG$78,BF81))</f>
        <v>PAA3</v>
      </c>
      <c r="BN81" s="556" t="str">
        <f>C143</f>
        <v>PAB3</v>
      </c>
      <c r="BO81" s="556" t="str">
        <f>C143</f>
        <v>PAB3</v>
      </c>
      <c r="BP81" s="556" t="str">
        <f>C143</f>
        <v>PAB3</v>
      </c>
      <c r="BR81" s="556" t="str">
        <f>IF(OR($BR$77=$BN$78,$BR$77=$BO$78,$BR$77=$BP$78),BN81,$C$149)</f>
        <v>PAB3</v>
      </c>
      <c r="BV81" s="556" t="str">
        <f>C146</f>
        <v>PAC3</v>
      </c>
      <c r="BW81" s="556" t="str">
        <f>C146</f>
        <v>PAC3</v>
      </c>
      <c r="BX81" s="556" t="str">
        <f>C146</f>
        <v>PAC3</v>
      </c>
      <c r="BZ81" s="556" t="str">
        <f>IF(OR($BZ$77=$BV$78,$BZ$77=$BW$78,$BZ$77=$BX$78),BV81,$C$149)</f>
        <v>PAC3</v>
      </c>
    </row>
    <row r="82" spans="1:78" s="556" customFormat="1" ht="15" customHeight="1" x14ac:dyDescent="0.3">
      <c r="A82" s="2529"/>
      <c r="B82" s="2532"/>
      <c r="C82" s="532" t="str">
        <f t="shared" si="10"/>
        <v>RAA7</v>
      </c>
      <c r="D82" s="532" t="s">
        <v>460</v>
      </c>
      <c r="E82" s="532" t="s">
        <v>33</v>
      </c>
      <c r="F82" s="532" t="s">
        <v>107</v>
      </c>
      <c r="G82" s="532">
        <f t="shared" si="11"/>
        <v>7</v>
      </c>
      <c r="H82" s="646" t="s">
        <v>946</v>
      </c>
      <c r="I82" s="440"/>
      <c r="J82" s="706" t="str">
        <f>C82</f>
        <v>RAA7</v>
      </c>
      <c r="K82" s="556" t="str">
        <f t="shared" si="12"/>
        <v>RAA5</v>
      </c>
      <c r="L82" s="556" t="str">
        <f t="shared" si="13"/>
        <v>FFF</v>
      </c>
      <c r="N82" s="556" t="str">
        <f t="shared" si="20"/>
        <v>RAA4</v>
      </c>
      <c r="R82" s="556" t="str">
        <f>C95</f>
        <v>RAB4</v>
      </c>
      <c r="S82" s="556" t="str">
        <f>$C$149</f>
        <v>FFF</v>
      </c>
      <c r="T82" s="556" t="str">
        <f>C95</f>
        <v>RAB4</v>
      </c>
      <c r="V82" s="556" t="str">
        <f t="shared" si="21"/>
        <v>RAB4</v>
      </c>
      <c r="Z82" s="556" t="str">
        <f t="shared" si="14"/>
        <v>RAC4</v>
      </c>
      <c r="AA82" s="556" t="str">
        <f t="shared" si="15"/>
        <v>FFF</v>
      </c>
      <c r="AB82" s="556" t="str">
        <f t="shared" si="16"/>
        <v>RAC4</v>
      </c>
      <c r="AD82" s="556" t="str">
        <f t="shared" si="22"/>
        <v>RAC4</v>
      </c>
      <c r="AP82" s="556" t="str">
        <f t="shared" si="18"/>
        <v>RAE4</v>
      </c>
      <c r="AQ82" s="556" t="str">
        <f>C114</f>
        <v>RAF4</v>
      </c>
      <c r="AR82" s="556" t="str">
        <f t="shared" si="19"/>
        <v>RAG5</v>
      </c>
      <c r="AT82" s="556" t="str">
        <f>IF('0.Basic Project Data'!H13='Data Analysis'!C163,Questions!$C$149,IF($AT$77=$AP$78,AP82,IF($AT$77=$AQ$78,AQ82,AR82)))</f>
        <v>RAG5</v>
      </c>
      <c r="AX82" s="556" t="str">
        <f>C134</f>
        <v>RAI4</v>
      </c>
      <c r="AY82" s="556" t="str">
        <f>C134</f>
        <v>RAI4</v>
      </c>
      <c r="AZ82" s="556" t="str">
        <f>C134</f>
        <v>RAI4</v>
      </c>
      <c r="BB82" s="556" t="str">
        <f>IF($BB$77=$AX$78,AX82,IF($BB$77=$AY$78,AY82,AZ82))</f>
        <v>RAI4</v>
      </c>
      <c r="BF82" s="556" t="str">
        <f>C139</f>
        <v>PAA4</v>
      </c>
      <c r="BG82" s="556" t="str">
        <f>C139</f>
        <v>PAA4</v>
      </c>
      <c r="BH82" s="556" t="str">
        <f>C139</f>
        <v>PAA4</v>
      </c>
      <c r="BJ82" s="556" t="str">
        <f>IF(AND(OR($BJ$77=$BF$78,$BJ$77=$BG$78,$BJ$77=$BH$78),$BJ$77='Data Analysis'!$C$158),$C$149,IF(OR($BJ$77=$BF$78,$BJ$77=$BG$78,$BJ$77=$BH$78),BF82,$C$149))</f>
        <v>PAA4</v>
      </c>
      <c r="BV82" s="556" t="str">
        <f>C147</f>
        <v>PAC4</v>
      </c>
      <c r="BW82" s="556" t="str">
        <f>C147</f>
        <v>PAC4</v>
      </c>
      <c r="BX82" s="556" t="str">
        <f>C147</f>
        <v>PAC4</v>
      </c>
      <c r="BZ82" s="556" t="str">
        <f>IF(OR($BZ$77=$BV$78,$BZ$77=$BW$78,$BZ$77=$BX$78),BV82,$C$149)</f>
        <v>PAC4</v>
      </c>
    </row>
    <row r="83" spans="1:78" s="556" customFormat="1" ht="15" customHeight="1" x14ac:dyDescent="0.3">
      <c r="A83" s="2529"/>
      <c r="B83" s="2532"/>
      <c r="C83" s="636" t="str">
        <f t="shared" si="10"/>
        <v>FB4</v>
      </c>
      <c r="D83" s="636" t="s">
        <v>41</v>
      </c>
      <c r="E83" s="636" t="s">
        <v>35</v>
      </c>
      <c r="F83" s="636" t="s">
        <v>570</v>
      </c>
      <c r="G83" s="636">
        <v>4</v>
      </c>
      <c r="H83" s="1396" t="s">
        <v>947</v>
      </c>
      <c r="I83" s="440"/>
      <c r="J83" s="954" t="str">
        <f>$C$149</f>
        <v>FFF</v>
      </c>
      <c r="K83" s="556" t="str">
        <f t="shared" si="12"/>
        <v>RAA6</v>
      </c>
      <c r="L83" s="556" t="str">
        <f t="shared" si="13"/>
        <v>FFF</v>
      </c>
      <c r="N83" s="556" t="str">
        <f t="shared" si="20"/>
        <v>RAA5</v>
      </c>
      <c r="Z83" s="556" t="str">
        <f t="shared" si="14"/>
        <v>RAC5</v>
      </c>
      <c r="AA83" s="556" t="str">
        <f t="shared" si="15"/>
        <v>FFF</v>
      </c>
      <c r="AB83" s="556" t="str">
        <f t="shared" si="16"/>
        <v>RAC5</v>
      </c>
      <c r="AD83" s="556" t="str">
        <f t="shared" si="22"/>
        <v>RAC5</v>
      </c>
      <c r="AP83" s="556" t="str">
        <f t="shared" si="18"/>
        <v>RAE5</v>
      </c>
      <c r="AQ83" s="556" t="str">
        <f t="shared" ref="AQ83:AQ88" si="24">$C$149</f>
        <v>FFF</v>
      </c>
      <c r="AR83" s="556" t="str">
        <f t="shared" si="19"/>
        <v>RAG6</v>
      </c>
      <c r="AT83" s="556" t="str">
        <f>IF('0.Basic Project Data'!H13='Data Analysis'!C163,Questions!$C$149,IF($AT$77=$AP$78,AP83,IF($AT$77=$AQ$78,AQ83,AR83)))</f>
        <v>RAG6</v>
      </c>
      <c r="AX83" s="556" t="str">
        <f>C135</f>
        <v>RAI5</v>
      </c>
      <c r="AY83" s="556" t="str">
        <f>C135</f>
        <v>RAI5</v>
      </c>
      <c r="AZ83" s="556" t="str">
        <f>C135</f>
        <v>RAI5</v>
      </c>
      <c r="BB83" s="556" t="str">
        <f>IF($BB$77=$AX$78,AX83,IF($BB$77=$AY$78,AY83,AZ83))</f>
        <v>RAI5</v>
      </c>
      <c r="BF83" s="556" t="str">
        <f>C140</f>
        <v>PAA5</v>
      </c>
      <c r="BG83" s="556" t="str">
        <f>C140</f>
        <v>PAA5</v>
      </c>
      <c r="BH83" s="556" t="str">
        <f>C140</f>
        <v>PAA5</v>
      </c>
      <c r="BJ83" s="556" t="str">
        <f>IF(AND(OR($BJ$77=$BF$78,$BJ$77=$BG$78,$BJ$77=$BH$78),$BK$77='Data Analysis'!$C$157),$C$149,IF(OR($BJ$77=$BF$78,$BJ$77=$BG$78,$BJ$77=$BH$78),BF83,$C$149))</f>
        <v>PAA5</v>
      </c>
      <c r="BV83" s="556" t="str">
        <f>C148</f>
        <v>PAC5</v>
      </c>
      <c r="BW83" s="556" t="str">
        <f>C148</f>
        <v>PAC5</v>
      </c>
      <c r="BX83" s="556" t="str">
        <f>C148</f>
        <v>PAC5</v>
      </c>
      <c r="BZ83" s="556" t="str">
        <f>IF(OR($BZ$77=$BV$78,$BZ$77=$BW$78,$BZ$77=$BX$78),BV83,$C$149)</f>
        <v>PAC5</v>
      </c>
    </row>
    <row r="84" spans="1:78" s="556" customFormat="1" ht="15" customHeight="1" x14ac:dyDescent="0.3">
      <c r="A84" s="2529"/>
      <c r="B84" s="2532"/>
      <c r="C84" s="636" t="str">
        <f t="shared" si="10"/>
        <v>FB5</v>
      </c>
      <c r="D84" s="636" t="s">
        <v>41</v>
      </c>
      <c r="E84" s="636" t="s">
        <v>35</v>
      </c>
      <c r="F84" s="636" t="s">
        <v>570</v>
      </c>
      <c r="G84" s="636">
        <f t="shared" si="11"/>
        <v>5</v>
      </c>
      <c r="H84" s="1396" t="s">
        <v>568</v>
      </c>
      <c r="I84" s="440"/>
      <c r="J84" s="954" t="str">
        <f>$C$149</f>
        <v>FFF</v>
      </c>
      <c r="K84" s="556" t="str">
        <f t="shared" si="12"/>
        <v>RAA7</v>
      </c>
      <c r="L84" s="556" t="str">
        <f t="shared" si="13"/>
        <v>FFF</v>
      </c>
      <c r="N84" s="556" t="str">
        <f t="shared" si="20"/>
        <v>RAA6</v>
      </c>
      <c r="Z84" s="556" t="str">
        <f t="shared" si="14"/>
        <v>RAC6</v>
      </c>
      <c r="AA84" s="556" t="str">
        <f t="shared" si="15"/>
        <v>FFF</v>
      </c>
      <c r="AB84" s="556" t="str">
        <f t="shared" si="16"/>
        <v>RAC6</v>
      </c>
      <c r="AD84" s="556" t="str">
        <f t="shared" si="22"/>
        <v>RAC6</v>
      </c>
      <c r="AP84" s="556" t="str">
        <f t="shared" si="18"/>
        <v>RAE6</v>
      </c>
      <c r="AQ84" s="556" t="str">
        <f t="shared" si="24"/>
        <v>FFF</v>
      </c>
      <c r="AR84" s="556" t="str">
        <f t="shared" si="19"/>
        <v>RAG7</v>
      </c>
      <c r="AT84" s="556" t="str">
        <f>IF('0.Basic Project Data'!H13='Data Analysis'!C163,Questions!$C$149,IF($AT$77=$AP$78,AP84,IF($AT$77=$AQ$78,AQ84,AR84)))</f>
        <v>RAG7</v>
      </c>
    </row>
    <row r="85" spans="1:78" s="556" customFormat="1" x14ac:dyDescent="0.3">
      <c r="A85" s="2529"/>
      <c r="B85" s="2532"/>
      <c r="C85" s="636" t="str">
        <f t="shared" si="10"/>
        <v>FB6</v>
      </c>
      <c r="D85" s="636" t="s">
        <v>41</v>
      </c>
      <c r="E85" s="636" t="s">
        <v>35</v>
      </c>
      <c r="F85" s="636" t="s">
        <v>570</v>
      </c>
      <c r="G85" s="636">
        <f t="shared" si="11"/>
        <v>6</v>
      </c>
      <c r="H85" s="1396" t="s">
        <v>569</v>
      </c>
      <c r="I85" s="440"/>
      <c r="J85" s="707" t="s">
        <v>141</v>
      </c>
      <c r="K85" s="704" t="s">
        <v>142</v>
      </c>
      <c r="N85" s="556" t="str">
        <f t="shared" si="20"/>
        <v>RAA7</v>
      </c>
      <c r="AP85" s="556" t="str">
        <f>$C$149</f>
        <v>FFF</v>
      </c>
      <c r="AQ85" s="556" t="str">
        <f t="shared" si="24"/>
        <v>FFF</v>
      </c>
      <c r="AR85" s="556" t="str">
        <f t="shared" si="19"/>
        <v>RAG8</v>
      </c>
      <c r="AT85" s="556" t="str">
        <f>IF('0.Basic Project Data'!H13='Data Analysis'!C163,Questions!$C$149,IF($AT$77=$AP$78,AP85,IF($AT$77=$AQ$78,AQ85,AR85)))</f>
        <v>RAG8</v>
      </c>
    </row>
    <row r="86" spans="1:78" s="556" customFormat="1" ht="15" customHeight="1" x14ac:dyDescent="0.3">
      <c r="A86" s="2529"/>
      <c r="B86" s="2532"/>
      <c r="C86" s="532"/>
      <c r="D86" s="532"/>
      <c r="E86" s="532"/>
      <c r="F86" s="532"/>
      <c r="G86" s="532"/>
      <c r="H86" s="646"/>
      <c r="I86" s="440"/>
      <c r="J86" s="706" t="str">
        <f>C102</f>
        <v>RAD1</v>
      </c>
      <c r="K86" s="556" t="str">
        <f t="shared" ref="K86:K94" si="25">C96</f>
        <v>RAC1</v>
      </c>
      <c r="AP86" s="556" t="str">
        <f>$C$149</f>
        <v>FFF</v>
      </c>
      <c r="AQ86" s="556" t="str">
        <f t="shared" si="24"/>
        <v>FFF</v>
      </c>
      <c r="AR86" s="556" t="str">
        <f t="shared" si="19"/>
        <v>RAG9</v>
      </c>
      <c r="AT86" s="556" t="str">
        <f>IF('0.Basic Project Data'!H13='Data Analysis'!C163,Questions!$C$149,IF($AT$77=$AP$78,AP86,IF($AT$77=$AQ$78,AQ86,AR86)))</f>
        <v>RAG9</v>
      </c>
    </row>
    <row r="87" spans="1:78" s="556" customFormat="1" x14ac:dyDescent="0.3">
      <c r="A87" s="2529"/>
      <c r="B87" s="2532"/>
      <c r="C87" s="532"/>
      <c r="D87" s="532"/>
      <c r="E87" s="532"/>
      <c r="F87" s="532"/>
      <c r="G87" s="532"/>
      <c r="H87" s="646"/>
      <c r="I87" s="440"/>
      <c r="J87" s="706" t="str">
        <f>C103</f>
        <v>RAD2</v>
      </c>
      <c r="K87" s="556" t="str">
        <f t="shared" si="25"/>
        <v>RAC2</v>
      </c>
      <c r="AP87" s="556" t="str">
        <f>$C$149</f>
        <v>FFF</v>
      </c>
      <c r="AQ87" s="556" t="str">
        <f t="shared" si="24"/>
        <v>FFF</v>
      </c>
      <c r="AR87" s="556" t="str">
        <f t="shared" si="19"/>
        <v>RAG10</v>
      </c>
      <c r="AT87" s="556" t="str">
        <f>IF('0.Basic Project Data'!H13='Data Analysis'!C163,Questions!$C$149,IF($AT$77=$AP$78,AP87,IF($AT$77=$AQ$78,AQ87,AR87)))</f>
        <v>RAG10</v>
      </c>
    </row>
    <row r="88" spans="1:78" s="556" customFormat="1" x14ac:dyDescent="0.3">
      <c r="A88" s="2529"/>
      <c r="B88" s="2532"/>
      <c r="I88" s="440"/>
      <c r="J88" s="706" t="str">
        <f>C104</f>
        <v>RAD3</v>
      </c>
      <c r="K88" s="556" t="str">
        <f t="shared" si="25"/>
        <v>RAC3</v>
      </c>
      <c r="AP88" s="556" t="str">
        <f>$C$149</f>
        <v>FFF</v>
      </c>
      <c r="AQ88" s="556" t="str">
        <f t="shared" si="24"/>
        <v>FFF</v>
      </c>
      <c r="AR88" s="556" t="str">
        <f t="shared" si="19"/>
        <v>RAG11</v>
      </c>
      <c r="AT88" s="556" t="str">
        <f>IF('0.Basic Project Data'!H13='Data Analysis'!C163,Questions!$C$149,IF($AT$77=$AP$78,AP88,IF($AT$77=$AQ$78,AQ88,AR88)))</f>
        <v>RAG11</v>
      </c>
    </row>
    <row r="89" spans="1:78" s="556" customFormat="1" x14ac:dyDescent="0.3">
      <c r="A89" s="2529"/>
      <c r="B89" s="2532"/>
      <c r="I89" s="440"/>
      <c r="J89" s="706" t="str">
        <f t="shared" ref="J89:J94" si="26">$C$149</f>
        <v>FFF</v>
      </c>
      <c r="K89" s="556" t="str">
        <f t="shared" si="25"/>
        <v>RAC4</v>
      </c>
    </row>
    <row r="90" spans="1:78" s="556" customFormat="1" x14ac:dyDescent="0.3">
      <c r="A90" s="2529"/>
      <c r="B90" s="2532"/>
      <c r="I90" s="440"/>
      <c r="J90" s="706" t="str">
        <f t="shared" si="26"/>
        <v>FFF</v>
      </c>
      <c r="K90" s="556" t="str">
        <f t="shared" si="25"/>
        <v>RAC5</v>
      </c>
    </row>
    <row r="91" spans="1:78" s="556" customFormat="1" x14ac:dyDescent="0.3">
      <c r="A91" s="2529"/>
      <c r="B91" s="2532"/>
      <c r="I91" s="440"/>
      <c r="J91" s="706" t="str">
        <f t="shared" si="26"/>
        <v>FFF</v>
      </c>
      <c r="K91" s="556" t="str">
        <f t="shared" si="25"/>
        <v>RAC6</v>
      </c>
    </row>
    <row r="92" spans="1:78" s="556" customFormat="1" x14ac:dyDescent="0.3">
      <c r="A92" s="2529"/>
      <c r="B92" s="2532"/>
      <c r="C92" s="532" t="str">
        <f t="shared" ref="C92:C130" si="27">CONCATENATE(D92,E92,G92)</f>
        <v>RAB1</v>
      </c>
      <c r="D92" s="532" t="s">
        <v>460</v>
      </c>
      <c r="E92" s="532" t="s">
        <v>35</v>
      </c>
      <c r="F92" s="532" t="s">
        <v>106</v>
      </c>
      <c r="G92" s="532">
        <v>1</v>
      </c>
      <c r="H92" s="647" t="s">
        <v>802</v>
      </c>
      <c r="I92" s="440"/>
      <c r="J92" s="706" t="str">
        <f t="shared" si="26"/>
        <v>FFF</v>
      </c>
      <c r="K92" s="556" t="str">
        <f t="shared" si="25"/>
        <v>RAD1</v>
      </c>
    </row>
    <row r="93" spans="1:78" s="556" customFormat="1" x14ac:dyDescent="0.3">
      <c r="A93" s="2529"/>
      <c r="B93" s="2532"/>
      <c r="C93" s="532" t="str">
        <f t="shared" si="27"/>
        <v>RAB2</v>
      </c>
      <c r="D93" s="532" t="s">
        <v>460</v>
      </c>
      <c r="E93" s="532" t="s">
        <v>35</v>
      </c>
      <c r="F93" s="532" t="s">
        <v>106</v>
      </c>
      <c r="G93" s="532">
        <f>G92+1</f>
        <v>2</v>
      </c>
      <c r="H93" s="647" t="s">
        <v>948</v>
      </c>
      <c r="I93" s="440"/>
      <c r="J93" s="706" t="str">
        <f t="shared" si="26"/>
        <v>FFF</v>
      </c>
      <c r="K93" s="556" t="str">
        <f t="shared" si="25"/>
        <v>RAD2</v>
      </c>
    </row>
    <row r="94" spans="1:78" s="556" customFormat="1" x14ac:dyDescent="0.3">
      <c r="A94" s="2529"/>
      <c r="B94" s="2532"/>
      <c r="C94" s="532" t="str">
        <f t="shared" si="27"/>
        <v>RAB3</v>
      </c>
      <c r="D94" s="532" t="s">
        <v>460</v>
      </c>
      <c r="E94" s="532" t="s">
        <v>35</v>
      </c>
      <c r="F94" s="532" t="s">
        <v>106</v>
      </c>
      <c r="G94" s="532">
        <f>G93+1</f>
        <v>3</v>
      </c>
      <c r="H94" s="647" t="s">
        <v>788</v>
      </c>
      <c r="I94" s="440"/>
      <c r="J94" s="706" t="str">
        <f t="shared" si="26"/>
        <v>FFF</v>
      </c>
      <c r="K94" s="556" t="str">
        <f t="shared" si="25"/>
        <v>RAD3</v>
      </c>
    </row>
    <row r="95" spans="1:78" s="556" customFormat="1" ht="28.8" x14ac:dyDescent="0.3">
      <c r="A95" s="2529"/>
      <c r="B95" s="2532"/>
      <c r="C95" s="532" t="str">
        <f t="shared" si="27"/>
        <v>RAB4</v>
      </c>
      <c r="D95" s="532" t="s">
        <v>460</v>
      </c>
      <c r="E95" s="532" t="s">
        <v>35</v>
      </c>
      <c r="F95" s="532" t="s">
        <v>106</v>
      </c>
      <c r="G95" s="532">
        <f>G94+1</f>
        <v>4</v>
      </c>
      <c r="H95" s="647" t="s">
        <v>949</v>
      </c>
      <c r="I95" s="440"/>
      <c r="J95" s="706"/>
    </row>
    <row r="96" spans="1:78" s="556" customFormat="1" ht="28.8" x14ac:dyDescent="0.3">
      <c r="A96" s="2529"/>
      <c r="B96" s="2532"/>
      <c r="C96" s="532" t="str">
        <f t="shared" si="27"/>
        <v>RAC1</v>
      </c>
      <c r="D96" s="532" t="s">
        <v>460</v>
      </c>
      <c r="E96" s="532" t="s">
        <v>36</v>
      </c>
      <c r="F96" s="532" t="s">
        <v>105</v>
      </c>
      <c r="G96" s="532">
        <v>1</v>
      </c>
      <c r="H96" s="648" t="s">
        <v>803</v>
      </c>
      <c r="I96" s="440"/>
      <c r="J96" s="706" t="str">
        <f>'0.Basic Project Data'!H13</f>
        <v>Construction, Operations and Maintenance</v>
      </c>
    </row>
    <row r="97" spans="1:12" s="556" customFormat="1" ht="28.8" x14ac:dyDescent="0.3">
      <c r="A97" s="2529"/>
      <c r="B97" s="2532"/>
      <c r="C97" s="532" t="str">
        <f t="shared" si="27"/>
        <v>RAC2</v>
      </c>
      <c r="D97" s="532" t="s">
        <v>460</v>
      </c>
      <c r="E97" s="532" t="s">
        <v>36</v>
      </c>
      <c r="F97" s="532" t="s">
        <v>105</v>
      </c>
      <c r="G97" s="532">
        <f>G96+1</f>
        <v>2</v>
      </c>
      <c r="H97" s="648" t="s">
        <v>642</v>
      </c>
      <c r="I97" s="440"/>
      <c r="J97" s="706" t="s">
        <v>162</v>
      </c>
    </row>
    <row r="98" spans="1:12" s="556" customFormat="1" ht="28.8" x14ac:dyDescent="0.3">
      <c r="A98" s="2529"/>
      <c r="B98" s="2532"/>
      <c r="C98" s="532" t="str">
        <f t="shared" si="27"/>
        <v>RAC3</v>
      </c>
      <c r="D98" s="532" t="s">
        <v>460</v>
      </c>
      <c r="E98" s="532" t="s">
        <v>36</v>
      </c>
      <c r="F98" s="532" t="s">
        <v>105</v>
      </c>
      <c r="G98" s="532">
        <f>G97+1</f>
        <v>3</v>
      </c>
      <c r="H98" s="648" t="s">
        <v>950</v>
      </c>
      <c r="I98" s="440"/>
      <c r="J98" s="706" t="str">
        <f>IF(J96=J85,J86,K86)</f>
        <v>RAC1</v>
      </c>
    </row>
    <row r="99" spans="1:12" s="556" customFormat="1" ht="28.8" x14ac:dyDescent="0.3">
      <c r="A99" s="2529"/>
      <c r="B99" s="2532"/>
      <c r="C99" s="532" t="str">
        <f t="shared" si="27"/>
        <v>RAC4</v>
      </c>
      <c r="D99" s="532" t="s">
        <v>460</v>
      </c>
      <c r="E99" s="532" t="s">
        <v>36</v>
      </c>
      <c r="F99" s="532" t="s">
        <v>105</v>
      </c>
      <c r="G99" s="532">
        <f>G98+1</f>
        <v>4</v>
      </c>
      <c r="H99" s="647" t="s">
        <v>951</v>
      </c>
      <c r="I99" s="440"/>
      <c r="J99" s="706" t="str">
        <f t="shared" ref="J99:J106" si="28">HLOOKUP(J98,J86:K94,2,FALSE)</f>
        <v>RAC2</v>
      </c>
    </row>
    <row r="100" spans="1:12" s="556" customFormat="1" ht="28.8" x14ac:dyDescent="0.3">
      <c r="A100" s="2529"/>
      <c r="B100" s="2532"/>
      <c r="C100" s="532" t="str">
        <f t="shared" si="27"/>
        <v>RAC5</v>
      </c>
      <c r="D100" s="532" t="s">
        <v>460</v>
      </c>
      <c r="E100" s="532" t="s">
        <v>36</v>
      </c>
      <c r="F100" s="532" t="s">
        <v>105</v>
      </c>
      <c r="G100" s="532">
        <f>G99+1</f>
        <v>5</v>
      </c>
      <c r="H100" s="647" t="s">
        <v>952</v>
      </c>
      <c r="I100" s="440"/>
      <c r="J100" s="706" t="str">
        <f t="shared" si="28"/>
        <v>RAC3</v>
      </c>
    </row>
    <row r="101" spans="1:12" s="556" customFormat="1" ht="28.8" x14ac:dyDescent="0.3">
      <c r="A101" s="2529"/>
      <c r="B101" s="2532"/>
      <c r="C101" s="532" t="str">
        <f t="shared" si="27"/>
        <v>RAC6</v>
      </c>
      <c r="D101" s="532" t="s">
        <v>460</v>
      </c>
      <c r="E101" s="532" t="s">
        <v>36</v>
      </c>
      <c r="F101" s="532" t="s">
        <v>105</v>
      </c>
      <c r="G101" s="532">
        <f>G100+1</f>
        <v>6</v>
      </c>
      <c r="H101" s="647" t="s">
        <v>625</v>
      </c>
      <c r="I101" s="440"/>
      <c r="J101" s="706" t="str">
        <f t="shared" si="28"/>
        <v>RAC4</v>
      </c>
    </row>
    <row r="102" spans="1:12" s="556" customFormat="1" ht="28.8" x14ac:dyDescent="0.3">
      <c r="A102" s="2529"/>
      <c r="B102" s="2532"/>
      <c r="C102" s="532" t="str">
        <f t="shared" si="27"/>
        <v>RAD1</v>
      </c>
      <c r="D102" s="532" t="s">
        <v>460</v>
      </c>
      <c r="E102" s="532" t="s">
        <v>37</v>
      </c>
      <c r="F102" s="532" t="s">
        <v>104</v>
      </c>
      <c r="G102" s="532">
        <v>1</v>
      </c>
      <c r="H102" s="647" t="s">
        <v>953</v>
      </c>
      <c r="I102" s="440"/>
      <c r="J102" s="706" t="str">
        <f t="shared" si="28"/>
        <v>RAC5</v>
      </c>
    </row>
    <row r="103" spans="1:12" s="556" customFormat="1" ht="28.8" x14ac:dyDescent="0.3">
      <c r="A103" s="2529"/>
      <c r="B103" s="2532"/>
      <c r="C103" s="532" t="str">
        <f t="shared" si="27"/>
        <v>RAD2</v>
      </c>
      <c r="D103" s="532" t="s">
        <v>460</v>
      </c>
      <c r="E103" s="532" t="s">
        <v>37</v>
      </c>
      <c r="F103" s="532" t="s">
        <v>104</v>
      </c>
      <c r="G103" s="532">
        <f>G102+1</f>
        <v>2</v>
      </c>
      <c r="H103" s="647" t="s">
        <v>133</v>
      </c>
      <c r="I103" s="440"/>
      <c r="J103" s="706" t="str">
        <f t="shared" si="28"/>
        <v>RAC6</v>
      </c>
    </row>
    <row r="104" spans="1:12" s="556" customFormat="1" ht="28.8" x14ac:dyDescent="0.3">
      <c r="A104" s="2529"/>
      <c r="B104" s="2532"/>
      <c r="C104" s="532" t="str">
        <f t="shared" si="27"/>
        <v>RAD3</v>
      </c>
      <c r="D104" s="532" t="s">
        <v>460</v>
      </c>
      <c r="E104" s="532" t="s">
        <v>37</v>
      </c>
      <c r="F104" s="532" t="s">
        <v>104</v>
      </c>
      <c r="G104" s="532">
        <f>G103+1</f>
        <v>3</v>
      </c>
      <c r="H104" s="647" t="s">
        <v>954</v>
      </c>
      <c r="I104" s="440"/>
      <c r="J104" s="706" t="str">
        <f t="shared" si="28"/>
        <v>RAD1</v>
      </c>
    </row>
    <row r="105" spans="1:12" s="556" customFormat="1" ht="28.8" x14ac:dyDescent="0.3">
      <c r="A105" s="2529"/>
      <c r="B105" s="2532"/>
      <c r="C105" s="532" t="str">
        <f t="shared" si="27"/>
        <v>RAE1</v>
      </c>
      <c r="D105" s="532" t="s">
        <v>460</v>
      </c>
      <c r="E105" s="532" t="s">
        <v>40</v>
      </c>
      <c r="F105" s="532" t="s">
        <v>134</v>
      </c>
      <c r="G105" s="532">
        <v>1</v>
      </c>
      <c r="H105" s="647" t="s">
        <v>955</v>
      </c>
      <c r="I105" s="440"/>
      <c r="J105" s="706" t="str">
        <f t="shared" si="28"/>
        <v>RAD2</v>
      </c>
    </row>
    <row r="106" spans="1:12" s="556" customFormat="1" ht="43.2" x14ac:dyDescent="0.3">
      <c r="A106" s="2529"/>
      <c r="B106" s="2532"/>
      <c r="C106" s="532" t="str">
        <f t="shared" si="27"/>
        <v>RAE2</v>
      </c>
      <c r="D106" s="532" t="s">
        <v>460</v>
      </c>
      <c r="E106" s="532" t="s">
        <v>40</v>
      </c>
      <c r="F106" s="532" t="s">
        <v>134</v>
      </c>
      <c r="G106" s="532">
        <f>G105+1</f>
        <v>2</v>
      </c>
      <c r="H106" s="648" t="s">
        <v>956</v>
      </c>
      <c r="I106" s="440"/>
      <c r="J106" s="706" t="str">
        <f t="shared" si="28"/>
        <v>RAD3</v>
      </c>
    </row>
    <row r="107" spans="1:12" s="556" customFormat="1" ht="28.8" x14ac:dyDescent="0.3">
      <c r="A107" s="2529"/>
      <c r="B107" s="2532"/>
      <c r="C107" s="532" t="str">
        <f t="shared" si="27"/>
        <v>RAE3</v>
      </c>
      <c r="D107" s="532" t="s">
        <v>460</v>
      </c>
      <c r="E107" s="532" t="s">
        <v>40</v>
      </c>
      <c r="F107" s="532" t="s">
        <v>134</v>
      </c>
      <c r="G107" s="532">
        <f>G106+1</f>
        <v>3</v>
      </c>
      <c r="H107" s="647" t="s">
        <v>645</v>
      </c>
      <c r="I107" s="440"/>
      <c r="J107" s="706"/>
    </row>
    <row r="108" spans="1:12" s="556" customFormat="1" ht="28.8" x14ac:dyDescent="0.3">
      <c r="A108" s="2529"/>
      <c r="B108" s="2532"/>
      <c r="C108" s="532" t="str">
        <f t="shared" si="27"/>
        <v>RAE4</v>
      </c>
      <c r="D108" s="532" t="s">
        <v>460</v>
      </c>
      <c r="E108" s="532" t="s">
        <v>40</v>
      </c>
      <c r="F108" s="532" t="s">
        <v>134</v>
      </c>
      <c r="G108" s="532">
        <f>G107+1</f>
        <v>4</v>
      </c>
      <c r="H108" s="647" t="s">
        <v>957</v>
      </c>
      <c r="I108" s="440"/>
      <c r="J108" s="706" t="s">
        <v>163</v>
      </c>
    </row>
    <row r="109" spans="1:12" s="556" customFormat="1" ht="43.2" x14ac:dyDescent="0.3">
      <c r="A109" s="2529"/>
      <c r="B109" s="2532"/>
      <c r="C109" s="532" t="str">
        <f t="shared" si="27"/>
        <v>RAE5</v>
      </c>
      <c r="D109" s="532" t="s">
        <v>460</v>
      </c>
      <c r="E109" s="532" t="s">
        <v>40</v>
      </c>
      <c r="F109" s="532" t="s">
        <v>134</v>
      </c>
      <c r="G109" s="532">
        <f>G108+1</f>
        <v>5</v>
      </c>
      <c r="H109" s="647" t="s">
        <v>958</v>
      </c>
      <c r="I109" s="440"/>
      <c r="J109" s="706" t="s">
        <v>125</v>
      </c>
      <c r="K109" s="556" t="s">
        <v>126</v>
      </c>
      <c r="L109" s="705" t="s">
        <v>143</v>
      </c>
    </row>
    <row r="110" spans="1:12" s="556" customFormat="1" ht="28.8" x14ac:dyDescent="0.3">
      <c r="A110" s="2529"/>
      <c r="B110" s="2532"/>
      <c r="C110" s="532" t="str">
        <f t="shared" si="27"/>
        <v>RAE6</v>
      </c>
      <c r="D110" s="532" t="s">
        <v>460</v>
      </c>
      <c r="E110" s="532" t="s">
        <v>40</v>
      </c>
      <c r="F110" s="532" t="s">
        <v>134</v>
      </c>
      <c r="G110" s="532">
        <f>G109+1</f>
        <v>6</v>
      </c>
      <c r="H110" s="647" t="s">
        <v>135</v>
      </c>
      <c r="I110" s="440"/>
      <c r="J110" s="706" t="str">
        <f t="shared" ref="J110:J115" si="29">C105</f>
        <v>RAE1</v>
      </c>
      <c r="K110" s="556" t="str">
        <f>C111</f>
        <v>RAF1</v>
      </c>
      <c r="L110" s="556" t="str">
        <f t="shared" ref="L110:L119" si="30">C115</f>
        <v>RAG1</v>
      </c>
    </row>
    <row r="111" spans="1:12" s="556" customFormat="1" ht="43.2" x14ac:dyDescent="0.3">
      <c r="A111" s="2529"/>
      <c r="B111" s="2532"/>
      <c r="C111" s="532" t="str">
        <f t="shared" si="27"/>
        <v>RAF1</v>
      </c>
      <c r="D111" s="532" t="s">
        <v>460</v>
      </c>
      <c r="E111" s="532" t="s">
        <v>41</v>
      </c>
      <c r="F111" s="532" t="s">
        <v>136</v>
      </c>
      <c r="G111" s="532">
        <v>1</v>
      </c>
      <c r="H111" s="647" t="s">
        <v>959</v>
      </c>
      <c r="I111" s="440"/>
      <c r="J111" s="706" t="str">
        <f t="shared" si="29"/>
        <v>RAE2</v>
      </c>
      <c r="K111" s="556" t="str">
        <f>C112</f>
        <v>RAF2</v>
      </c>
      <c r="L111" s="556" t="str">
        <f t="shared" si="30"/>
        <v>RAG2</v>
      </c>
    </row>
    <row r="112" spans="1:12" s="556" customFormat="1" x14ac:dyDescent="0.3">
      <c r="A112" s="2529"/>
      <c r="B112" s="2532"/>
      <c r="C112" s="532" t="str">
        <f t="shared" si="27"/>
        <v>RAF2</v>
      </c>
      <c r="D112" s="532" t="s">
        <v>460</v>
      </c>
      <c r="E112" s="532" t="s">
        <v>41</v>
      </c>
      <c r="F112" s="532" t="s">
        <v>136</v>
      </c>
      <c r="G112" s="532">
        <f>G111+1</f>
        <v>2</v>
      </c>
      <c r="H112" s="647" t="s">
        <v>960</v>
      </c>
      <c r="I112" s="440"/>
      <c r="J112" s="706" t="str">
        <f t="shared" si="29"/>
        <v>RAE3</v>
      </c>
      <c r="K112" s="556" t="str">
        <f>C113</f>
        <v>RAF3</v>
      </c>
      <c r="L112" s="556" t="str">
        <f t="shared" si="30"/>
        <v>RAG3</v>
      </c>
    </row>
    <row r="113" spans="1:12" s="556" customFormat="1" ht="43.2" x14ac:dyDescent="0.3">
      <c r="A113" s="2529"/>
      <c r="B113" s="2532"/>
      <c r="C113" s="532" t="str">
        <f t="shared" si="27"/>
        <v>RAF3</v>
      </c>
      <c r="D113" s="532" t="s">
        <v>460</v>
      </c>
      <c r="E113" s="532" t="s">
        <v>41</v>
      </c>
      <c r="F113" s="532" t="s">
        <v>136</v>
      </c>
      <c r="G113" s="532">
        <f>G112+1</f>
        <v>3</v>
      </c>
      <c r="H113" s="647" t="s">
        <v>789</v>
      </c>
      <c r="I113" s="440"/>
      <c r="J113" s="706" t="str">
        <f t="shared" si="29"/>
        <v>RAE4</v>
      </c>
      <c r="K113" s="556" t="str">
        <f>C114</f>
        <v>RAF4</v>
      </c>
      <c r="L113" s="556" t="str">
        <f t="shared" si="30"/>
        <v>RAG4</v>
      </c>
    </row>
    <row r="114" spans="1:12" s="556" customFormat="1" ht="43.2" x14ac:dyDescent="0.3">
      <c r="A114" s="2529"/>
      <c r="B114" s="2532"/>
      <c r="C114" s="532" t="str">
        <f t="shared" si="27"/>
        <v>RAF4</v>
      </c>
      <c r="D114" s="532" t="s">
        <v>460</v>
      </c>
      <c r="E114" s="532" t="s">
        <v>41</v>
      </c>
      <c r="F114" s="532" t="s">
        <v>136</v>
      </c>
      <c r="G114" s="532">
        <f>G113+1</f>
        <v>4</v>
      </c>
      <c r="H114" s="647" t="s">
        <v>961</v>
      </c>
      <c r="I114" s="440"/>
      <c r="J114" s="706" t="str">
        <f t="shared" si="29"/>
        <v>RAE5</v>
      </c>
      <c r="K114" s="556" t="str">
        <f t="shared" ref="K114:K119" si="31">$C$149</f>
        <v>FFF</v>
      </c>
      <c r="L114" s="556" t="str">
        <f t="shared" si="30"/>
        <v>RAG5</v>
      </c>
    </row>
    <row r="115" spans="1:12" s="556" customFormat="1" ht="28.8" x14ac:dyDescent="0.3">
      <c r="A115" s="2529"/>
      <c r="B115" s="2532"/>
      <c r="C115" s="532" t="str">
        <f t="shared" si="27"/>
        <v>RAG1</v>
      </c>
      <c r="D115" s="532" t="s">
        <v>460</v>
      </c>
      <c r="E115" s="532" t="s">
        <v>42</v>
      </c>
      <c r="F115" s="532" t="s">
        <v>137</v>
      </c>
      <c r="G115" s="532">
        <v>1</v>
      </c>
      <c r="H115" s="647" t="s">
        <v>962</v>
      </c>
      <c r="I115" s="440"/>
      <c r="J115" s="706" t="str">
        <f t="shared" si="29"/>
        <v>RAE6</v>
      </c>
      <c r="K115" s="556" t="str">
        <f t="shared" si="31"/>
        <v>FFF</v>
      </c>
      <c r="L115" s="556" t="str">
        <f t="shared" si="30"/>
        <v>RAG6</v>
      </c>
    </row>
    <row r="116" spans="1:12" s="556" customFormat="1" ht="15" customHeight="1" x14ac:dyDescent="0.3">
      <c r="A116" s="2529"/>
      <c r="B116" s="2532"/>
      <c r="C116" s="532" t="str">
        <f t="shared" si="27"/>
        <v>RAG2</v>
      </c>
      <c r="D116" s="532" t="s">
        <v>460</v>
      </c>
      <c r="E116" s="532" t="s">
        <v>42</v>
      </c>
      <c r="F116" s="532" t="s">
        <v>137</v>
      </c>
      <c r="G116" s="532">
        <f t="shared" ref="G116:G125" si="32">G115+1</f>
        <v>2</v>
      </c>
      <c r="H116" s="647" t="s">
        <v>959</v>
      </c>
      <c r="I116" s="440"/>
      <c r="J116" s="706" t="str">
        <f>$C$149</f>
        <v>FFF</v>
      </c>
      <c r="K116" s="556" t="str">
        <f t="shared" si="31"/>
        <v>FFF</v>
      </c>
      <c r="L116" s="556" t="str">
        <f t="shared" si="30"/>
        <v>RAG7</v>
      </c>
    </row>
    <row r="117" spans="1:12" s="556" customFormat="1" ht="28.8" x14ac:dyDescent="0.3">
      <c r="A117" s="2529"/>
      <c r="B117" s="2532"/>
      <c r="C117" s="532" t="str">
        <f t="shared" si="27"/>
        <v>RAG3</v>
      </c>
      <c r="D117" s="532" t="s">
        <v>460</v>
      </c>
      <c r="E117" s="532" t="s">
        <v>42</v>
      </c>
      <c r="F117" s="532" t="s">
        <v>137</v>
      </c>
      <c r="G117" s="532">
        <f t="shared" si="32"/>
        <v>3</v>
      </c>
      <c r="H117" s="647" t="s">
        <v>963</v>
      </c>
      <c r="I117" s="440"/>
      <c r="J117" s="706" t="str">
        <f>$C$149</f>
        <v>FFF</v>
      </c>
      <c r="K117" s="556" t="str">
        <f t="shared" si="31"/>
        <v>FFF</v>
      </c>
      <c r="L117" s="556" t="str">
        <f t="shared" si="30"/>
        <v>RAG8</v>
      </c>
    </row>
    <row r="118" spans="1:12" s="556" customFormat="1" ht="43.2" x14ac:dyDescent="0.3">
      <c r="A118" s="2529"/>
      <c r="B118" s="2532"/>
      <c r="C118" s="532" t="str">
        <f t="shared" si="27"/>
        <v>RAG4</v>
      </c>
      <c r="D118" s="532" t="s">
        <v>460</v>
      </c>
      <c r="E118" s="532" t="s">
        <v>42</v>
      </c>
      <c r="F118" s="532" t="s">
        <v>137</v>
      </c>
      <c r="G118" s="532">
        <f t="shared" si="32"/>
        <v>4</v>
      </c>
      <c r="H118" s="647" t="s">
        <v>964</v>
      </c>
      <c r="I118" s="440"/>
      <c r="J118" s="706" t="str">
        <f>$C$149</f>
        <v>FFF</v>
      </c>
      <c r="K118" s="556" t="str">
        <f t="shared" si="31"/>
        <v>FFF</v>
      </c>
      <c r="L118" s="556" t="str">
        <f t="shared" si="30"/>
        <v>RAG9</v>
      </c>
    </row>
    <row r="119" spans="1:12" s="556" customFormat="1" ht="43.2" x14ac:dyDescent="0.3">
      <c r="A119" s="2529"/>
      <c r="B119" s="2532"/>
      <c r="C119" s="532" t="str">
        <f t="shared" si="27"/>
        <v>RAG5</v>
      </c>
      <c r="D119" s="532" t="s">
        <v>460</v>
      </c>
      <c r="E119" s="532" t="s">
        <v>42</v>
      </c>
      <c r="F119" s="532" t="s">
        <v>137</v>
      </c>
      <c r="G119" s="532">
        <f t="shared" si="32"/>
        <v>5</v>
      </c>
      <c r="H119" s="647" t="s">
        <v>961</v>
      </c>
      <c r="I119" s="440"/>
      <c r="J119" s="706" t="str">
        <f>$C$149</f>
        <v>FFF</v>
      </c>
      <c r="K119" s="556" t="str">
        <f t="shared" si="31"/>
        <v>FFF</v>
      </c>
      <c r="L119" s="556" t="str">
        <f t="shared" si="30"/>
        <v>RAG10</v>
      </c>
    </row>
    <row r="120" spans="1:12" s="556" customFormat="1" ht="28.8" x14ac:dyDescent="0.3">
      <c r="A120" s="2529"/>
      <c r="B120" s="2532"/>
      <c r="C120" s="532" t="str">
        <f t="shared" si="27"/>
        <v>RAG6</v>
      </c>
      <c r="D120" s="532" t="s">
        <v>460</v>
      </c>
      <c r="E120" s="532" t="s">
        <v>42</v>
      </c>
      <c r="F120" s="532" t="s">
        <v>137</v>
      </c>
      <c r="G120" s="532">
        <f t="shared" si="32"/>
        <v>6</v>
      </c>
      <c r="H120" s="647" t="s">
        <v>965</v>
      </c>
      <c r="I120" s="440"/>
      <c r="J120" s="706"/>
    </row>
    <row r="121" spans="1:12" s="556" customFormat="1" ht="30" customHeight="1" x14ac:dyDescent="0.3">
      <c r="A121" s="2529"/>
      <c r="B121" s="2532"/>
      <c r="C121" s="532" t="str">
        <f t="shared" si="27"/>
        <v>RAG7</v>
      </c>
      <c r="D121" s="532" t="s">
        <v>460</v>
      </c>
      <c r="E121" s="532" t="s">
        <v>42</v>
      </c>
      <c r="F121" s="532" t="s">
        <v>137</v>
      </c>
      <c r="G121" s="532">
        <f t="shared" si="32"/>
        <v>7</v>
      </c>
      <c r="H121" s="648" t="s">
        <v>966</v>
      </c>
      <c r="I121" s="440"/>
      <c r="J121" s="706"/>
    </row>
    <row r="122" spans="1:12" s="556" customFormat="1" ht="28.8" x14ac:dyDescent="0.3">
      <c r="A122" s="2529"/>
      <c r="B122" s="2532"/>
      <c r="C122" s="532" t="str">
        <f t="shared" si="27"/>
        <v>RAG8</v>
      </c>
      <c r="D122" s="532" t="s">
        <v>460</v>
      </c>
      <c r="E122" s="532" t="s">
        <v>42</v>
      </c>
      <c r="F122" s="532" t="s">
        <v>137</v>
      </c>
      <c r="G122" s="532">
        <f t="shared" si="32"/>
        <v>8</v>
      </c>
      <c r="H122" s="647" t="s">
        <v>645</v>
      </c>
      <c r="I122" s="440"/>
      <c r="J122" s="706" t="str">
        <f>'0.Basic Project Data'!H22</f>
        <v>Hybrid Payments</v>
      </c>
    </row>
    <row r="123" spans="1:12" s="556" customFormat="1" ht="28.8" x14ac:dyDescent="0.3">
      <c r="A123" s="2529"/>
      <c r="B123" s="2532"/>
      <c r="C123" s="532" t="str">
        <f t="shared" si="27"/>
        <v>RAG9</v>
      </c>
      <c r="D123" s="532" t="s">
        <v>460</v>
      </c>
      <c r="E123" s="532" t="s">
        <v>42</v>
      </c>
      <c r="F123" s="532" t="s">
        <v>137</v>
      </c>
      <c r="G123" s="532">
        <f t="shared" si="32"/>
        <v>9</v>
      </c>
      <c r="H123" s="647" t="s">
        <v>957</v>
      </c>
      <c r="I123" s="440"/>
      <c r="J123" s="706"/>
    </row>
    <row r="124" spans="1:12" s="556" customFormat="1" ht="43.2" x14ac:dyDescent="0.3">
      <c r="A124" s="2529"/>
      <c r="B124" s="2532"/>
      <c r="C124" s="532" t="str">
        <f t="shared" si="27"/>
        <v>RAG10</v>
      </c>
      <c r="D124" s="532" t="s">
        <v>460</v>
      </c>
      <c r="E124" s="532" t="s">
        <v>42</v>
      </c>
      <c r="F124" s="532" t="s">
        <v>137</v>
      </c>
      <c r="G124" s="532">
        <f t="shared" si="32"/>
        <v>10</v>
      </c>
      <c r="H124" s="647" t="s">
        <v>967</v>
      </c>
      <c r="I124" s="440"/>
      <c r="J124" s="706" t="s">
        <v>155</v>
      </c>
    </row>
    <row r="125" spans="1:12" s="556" customFormat="1" ht="15" customHeight="1" x14ac:dyDescent="0.3">
      <c r="A125" s="2529"/>
      <c r="B125" s="2532"/>
      <c r="C125" s="532" t="str">
        <f t="shared" si="27"/>
        <v>RAG11</v>
      </c>
      <c r="D125" s="532" t="s">
        <v>460</v>
      </c>
      <c r="E125" s="532" t="s">
        <v>42</v>
      </c>
      <c r="F125" s="532" t="s">
        <v>137</v>
      </c>
      <c r="G125" s="532">
        <f t="shared" si="32"/>
        <v>11</v>
      </c>
      <c r="H125" s="647" t="s">
        <v>135</v>
      </c>
      <c r="I125" s="440"/>
      <c r="J125" s="706" t="str">
        <f>IF($J$122=J109,J110,IF(J122=K109,K110,L110))</f>
        <v>RAG1</v>
      </c>
    </row>
    <row r="126" spans="1:12" s="556" customFormat="1" ht="18" customHeight="1" x14ac:dyDescent="0.3">
      <c r="A126" s="2529"/>
      <c r="B126" s="2532"/>
      <c r="C126" s="532" t="str">
        <f t="shared" si="27"/>
        <v>RAH1</v>
      </c>
      <c r="D126" s="532" t="s">
        <v>460</v>
      </c>
      <c r="E126" s="532" t="s">
        <v>43</v>
      </c>
      <c r="F126" s="532" t="s">
        <v>402</v>
      </c>
      <c r="G126" s="532">
        <v>1</v>
      </c>
      <c r="H126" s="647" t="s">
        <v>403</v>
      </c>
      <c r="I126" s="440"/>
      <c r="J126" s="706" t="str">
        <f t="shared" ref="J126:J134" si="33">HLOOKUP(J125,J110:L119,2,FALSE)</f>
        <v>RAG2</v>
      </c>
    </row>
    <row r="127" spans="1:12" s="556" customFormat="1" ht="15" customHeight="1" x14ac:dyDescent="0.3">
      <c r="A127" s="2529"/>
      <c r="B127" s="2532"/>
      <c r="C127" s="532" t="str">
        <f t="shared" si="27"/>
        <v>RAH2</v>
      </c>
      <c r="D127" s="532" t="s">
        <v>460</v>
      </c>
      <c r="E127" s="532" t="s">
        <v>43</v>
      </c>
      <c r="F127" s="532" t="s">
        <v>402</v>
      </c>
      <c r="G127" s="532">
        <v>2</v>
      </c>
      <c r="H127" s="647" t="s">
        <v>404</v>
      </c>
      <c r="I127" s="440"/>
      <c r="J127" s="706" t="str">
        <f t="shared" si="33"/>
        <v>RAG3</v>
      </c>
    </row>
    <row r="128" spans="1:12" s="556" customFormat="1" ht="28.8" x14ac:dyDescent="0.3">
      <c r="A128" s="2529"/>
      <c r="B128" s="2532"/>
      <c r="C128" s="532" t="str">
        <f t="shared" si="27"/>
        <v>RAH3</v>
      </c>
      <c r="D128" s="532" t="s">
        <v>460</v>
      </c>
      <c r="E128" s="532" t="s">
        <v>43</v>
      </c>
      <c r="F128" s="532" t="s">
        <v>402</v>
      </c>
      <c r="G128" s="532">
        <v>3</v>
      </c>
      <c r="H128" s="647" t="s">
        <v>968</v>
      </c>
      <c r="I128" s="440"/>
      <c r="J128" s="706" t="str">
        <f t="shared" si="33"/>
        <v>RAG4</v>
      </c>
    </row>
    <row r="129" spans="1:10" s="556" customFormat="1" x14ac:dyDescent="0.3">
      <c r="A129" s="2529"/>
      <c r="B129" s="2532"/>
      <c r="C129" s="532" t="str">
        <f t="shared" si="27"/>
        <v>RAH4</v>
      </c>
      <c r="D129" s="532" t="s">
        <v>460</v>
      </c>
      <c r="E129" s="532" t="s">
        <v>43</v>
      </c>
      <c r="F129" s="532" t="s">
        <v>402</v>
      </c>
      <c r="G129" s="532">
        <v>4</v>
      </c>
      <c r="H129" s="647" t="s">
        <v>790</v>
      </c>
      <c r="I129" s="440"/>
      <c r="J129" s="706" t="str">
        <f t="shared" si="33"/>
        <v>RAG5</v>
      </c>
    </row>
    <row r="130" spans="1:10" s="556" customFormat="1" ht="28.8" x14ac:dyDescent="0.3">
      <c r="A130" s="2529"/>
      <c r="B130" s="2532"/>
      <c r="C130" s="532" t="str">
        <f t="shared" si="27"/>
        <v>RAH5</v>
      </c>
      <c r="D130" s="532" t="s">
        <v>460</v>
      </c>
      <c r="E130" s="532" t="s">
        <v>43</v>
      </c>
      <c r="F130" s="532" t="s">
        <v>402</v>
      </c>
      <c r="G130" s="532">
        <v>5</v>
      </c>
      <c r="H130" s="647" t="s">
        <v>969</v>
      </c>
      <c r="I130" s="440"/>
      <c r="J130" s="706" t="str">
        <f t="shared" si="33"/>
        <v>RAG6</v>
      </c>
    </row>
    <row r="131" spans="1:10" s="556" customFormat="1" x14ac:dyDescent="0.3">
      <c r="A131" s="2529"/>
      <c r="B131" s="2532"/>
      <c r="C131" s="532" t="str">
        <f t="shared" ref="C131:C143" si="34">CONCATENATE(D131,E131,G131)</f>
        <v>RAI1</v>
      </c>
      <c r="D131" s="532" t="s">
        <v>460</v>
      </c>
      <c r="E131" s="532" t="s">
        <v>44</v>
      </c>
      <c r="F131" s="532" t="s">
        <v>108</v>
      </c>
      <c r="G131" s="532">
        <v>1</v>
      </c>
      <c r="H131" s="647" t="s">
        <v>138</v>
      </c>
      <c r="I131" s="440"/>
      <c r="J131" s="706" t="str">
        <f t="shared" si="33"/>
        <v>RAG7</v>
      </c>
    </row>
    <row r="132" spans="1:10" s="556" customFormat="1" ht="15" customHeight="1" x14ac:dyDescent="0.3">
      <c r="A132" s="2529"/>
      <c r="B132" s="2532"/>
      <c r="C132" s="532" t="str">
        <f t="shared" si="34"/>
        <v>RAI2</v>
      </c>
      <c r="D132" s="532" t="s">
        <v>460</v>
      </c>
      <c r="E132" s="532" t="s">
        <v>44</v>
      </c>
      <c r="F132" s="532" t="s">
        <v>108</v>
      </c>
      <c r="G132" s="532">
        <f>G131+1</f>
        <v>2</v>
      </c>
      <c r="H132" s="647" t="s">
        <v>109</v>
      </c>
      <c r="I132" s="440"/>
      <c r="J132" s="706" t="str">
        <f t="shared" si="33"/>
        <v>RAG8</v>
      </c>
    </row>
    <row r="133" spans="1:10" s="556" customFormat="1" ht="15.75" customHeight="1" x14ac:dyDescent="0.3">
      <c r="A133" s="2529"/>
      <c r="B133" s="2532"/>
      <c r="C133" s="532" t="str">
        <f t="shared" si="34"/>
        <v>RAI3</v>
      </c>
      <c r="D133" s="532" t="s">
        <v>460</v>
      </c>
      <c r="E133" s="532" t="s">
        <v>44</v>
      </c>
      <c r="F133" s="532" t="s">
        <v>108</v>
      </c>
      <c r="G133" s="532">
        <f>G132+1</f>
        <v>3</v>
      </c>
      <c r="H133" s="647" t="s">
        <v>970</v>
      </c>
      <c r="I133" s="440"/>
      <c r="J133" s="706" t="str">
        <f t="shared" si="33"/>
        <v>RAG9</v>
      </c>
    </row>
    <row r="134" spans="1:10" s="556" customFormat="1" ht="28.8" x14ac:dyDescent="0.3">
      <c r="A134" s="2529"/>
      <c r="B134" s="2532"/>
      <c r="C134" s="532" t="str">
        <f t="shared" si="34"/>
        <v>RAI4</v>
      </c>
      <c r="D134" s="532" t="s">
        <v>460</v>
      </c>
      <c r="E134" s="532" t="s">
        <v>44</v>
      </c>
      <c r="F134" s="532" t="s">
        <v>108</v>
      </c>
      <c r="G134" s="532">
        <f>G133+1</f>
        <v>4</v>
      </c>
      <c r="H134" s="647" t="s">
        <v>406</v>
      </c>
      <c r="I134" s="440"/>
      <c r="J134" s="706" t="str">
        <f t="shared" si="33"/>
        <v>RAG10</v>
      </c>
    </row>
    <row r="135" spans="1:10" s="556" customFormat="1" ht="76.5" customHeight="1" thickBot="1" x14ac:dyDescent="0.35">
      <c r="A135" s="2530"/>
      <c r="B135" s="2533"/>
      <c r="C135" s="674" t="str">
        <f t="shared" si="34"/>
        <v>RAI5</v>
      </c>
      <c r="D135" s="532" t="s">
        <v>460</v>
      </c>
      <c r="E135" s="674" t="s">
        <v>44</v>
      </c>
      <c r="F135" s="674" t="s">
        <v>108</v>
      </c>
      <c r="G135" s="674">
        <f>G134+1</f>
        <v>5</v>
      </c>
      <c r="H135" s="675" t="s">
        <v>791</v>
      </c>
      <c r="I135" s="440"/>
      <c r="J135" s="706"/>
    </row>
    <row r="136" spans="1:10" s="556" customFormat="1" ht="28.8" x14ac:dyDescent="0.3">
      <c r="A136" s="2534" t="s">
        <v>208</v>
      </c>
      <c r="B136" s="2537" t="s">
        <v>330</v>
      </c>
      <c r="C136" s="670" t="str">
        <f t="shared" si="34"/>
        <v>PAA1</v>
      </c>
      <c r="D136" s="670" t="s">
        <v>140</v>
      </c>
      <c r="E136" s="670" t="s">
        <v>33</v>
      </c>
      <c r="F136" s="670" t="s">
        <v>110</v>
      </c>
      <c r="G136" s="670">
        <v>1</v>
      </c>
      <c r="H136" s="671" t="s">
        <v>971</v>
      </c>
      <c r="I136" s="440"/>
      <c r="J136" s="706"/>
    </row>
    <row r="137" spans="1:10" s="556" customFormat="1" ht="57.6" x14ac:dyDescent="0.3">
      <c r="A137" s="2535"/>
      <c r="B137" s="2538"/>
      <c r="C137" s="641" t="str">
        <f t="shared" si="34"/>
        <v>PAA2</v>
      </c>
      <c r="D137" s="641" t="s">
        <v>140</v>
      </c>
      <c r="E137" s="641" t="s">
        <v>33</v>
      </c>
      <c r="F137" s="641" t="s">
        <v>110</v>
      </c>
      <c r="G137" s="641">
        <f>G136+1</f>
        <v>2</v>
      </c>
      <c r="H137" s="649" t="s">
        <v>972</v>
      </c>
      <c r="I137" s="440"/>
      <c r="J137" s="706"/>
    </row>
    <row r="138" spans="1:10" s="556" customFormat="1" ht="15.75" customHeight="1" x14ac:dyDescent="0.3">
      <c r="A138" s="2535"/>
      <c r="B138" s="2538"/>
      <c r="C138" s="641" t="str">
        <f t="shared" si="34"/>
        <v>PAA3</v>
      </c>
      <c r="D138" s="641" t="s">
        <v>140</v>
      </c>
      <c r="E138" s="641" t="s">
        <v>33</v>
      </c>
      <c r="F138" s="641" t="s">
        <v>110</v>
      </c>
      <c r="G138" s="641">
        <f>G137+1</f>
        <v>3</v>
      </c>
      <c r="H138" s="649" t="s">
        <v>973</v>
      </c>
      <c r="I138" s="440"/>
      <c r="J138" s="706"/>
    </row>
    <row r="139" spans="1:10" s="556" customFormat="1" ht="15.75" customHeight="1" x14ac:dyDescent="0.3">
      <c r="A139" s="2535"/>
      <c r="B139" s="2538"/>
      <c r="C139" s="641" t="str">
        <f t="shared" si="34"/>
        <v>PAA4</v>
      </c>
      <c r="D139" s="641" t="s">
        <v>140</v>
      </c>
      <c r="E139" s="641" t="s">
        <v>33</v>
      </c>
      <c r="F139" s="641" t="s">
        <v>110</v>
      </c>
      <c r="G139" s="641">
        <f>G138+1</f>
        <v>4</v>
      </c>
      <c r="H139" s="649" t="s">
        <v>974</v>
      </c>
      <c r="I139" s="440"/>
      <c r="J139" s="706"/>
    </row>
    <row r="140" spans="1:10" s="556" customFormat="1" ht="28.8" x14ac:dyDescent="0.3">
      <c r="A140" s="2535"/>
      <c r="B140" s="2538"/>
      <c r="C140" s="641" t="str">
        <f t="shared" si="34"/>
        <v>PAA5</v>
      </c>
      <c r="D140" s="641" t="s">
        <v>140</v>
      </c>
      <c r="E140" s="641" t="s">
        <v>33</v>
      </c>
      <c r="F140" s="641" t="s">
        <v>110</v>
      </c>
      <c r="G140" s="641">
        <f>G139+1</f>
        <v>5</v>
      </c>
      <c r="H140" s="649" t="s">
        <v>804</v>
      </c>
      <c r="I140" s="440"/>
      <c r="J140" s="706"/>
    </row>
    <row r="141" spans="1:10" s="556" customFormat="1" x14ac:dyDescent="0.3">
      <c r="A141" s="2535"/>
      <c r="B141" s="2538"/>
      <c r="C141" s="641" t="str">
        <f t="shared" si="34"/>
        <v>PAB1</v>
      </c>
      <c r="D141" s="641" t="s">
        <v>140</v>
      </c>
      <c r="E141" s="641" t="s">
        <v>35</v>
      </c>
      <c r="F141" s="641" t="s">
        <v>111</v>
      </c>
      <c r="G141" s="641">
        <v>1</v>
      </c>
      <c r="H141" s="649" t="s">
        <v>805</v>
      </c>
      <c r="I141" s="440"/>
      <c r="J141" s="706"/>
    </row>
    <row r="142" spans="1:10" s="556" customFormat="1" ht="16.5" customHeight="1" x14ac:dyDescent="0.3">
      <c r="A142" s="2535"/>
      <c r="B142" s="2538"/>
      <c r="C142" s="641" t="str">
        <f t="shared" si="34"/>
        <v>PAB2</v>
      </c>
      <c r="D142" s="641" t="s">
        <v>140</v>
      </c>
      <c r="E142" s="641" t="s">
        <v>35</v>
      </c>
      <c r="F142" s="641" t="s">
        <v>110</v>
      </c>
      <c r="G142" s="641">
        <f>G141+1</f>
        <v>2</v>
      </c>
      <c r="H142" s="649" t="s">
        <v>975</v>
      </c>
      <c r="I142" s="440"/>
      <c r="J142" s="706"/>
    </row>
    <row r="143" spans="1:10" s="556" customFormat="1" ht="15" customHeight="1" x14ac:dyDescent="0.3">
      <c r="A143" s="2535"/>
      <c r="B143" s="2538"/>
      <c r="C143" s="641" t="str">
        <f t="shared" si="34"/>
        <v>PAB3</v>
      </c>
      <c r="D143" s="641" t="s">
        <v>140</v>
      </c>
      <c r="E143" s="641" t="s">
        <v>35</v>
      </c>
      <c r="F143" s="641" t="s">
        <v>110</v>
      </c>
      <c r="G143" s="641">
        <f>G142+1</f>
        <v>3</v>
      </c>
      <c r="H143" s="649" t="s">
        <v>976</v>
      </c>
      <c r="I143" s="440"/>
      <c r="J143" s="706"/>
    </row>
    <row r="144" spans="1:10" s="556" customFormat="1" ht="43.2" x14ac:dyDescent="0.3">
      <c r="A144" s="2535"/>
      <c r="B144" s="2538"/>
      <c r="C144" s="641" t="str">
        <f t="shared" ref="C144:C148" si="35">CONCATENATE(D144,E144,G144)</f>
        <v>PAC1</v>
      </c>
      <c r="D144" s="641" t="s">
        <v>140</v>
      </c>
      <c r="E144" s="641" t="s">
        <v>36</v>
      </c>
      <c r="F144" s="641" t="s">
        <v>45</v>
      </c>
      <c r="G144" s="641">
        <v>1</v>
      </c>
      <c r="H144" s="650" t="s">
        <v>977</v>
      </c>
      <c r="I144" s="440"/>
      <c r="J144" s="706"/>
    </row>
    <row r="145" spans="1:10" s="556" customFormat="1" ht="15" customHeight="1" x14ac:dyDescent="0.3">
      <c r="A145" s="2535"/>
      <c r="B145" s="2538"/>
      <c r="C145" s="641" t="str">
        <f t="shared" si="35"/>
        <v>PAC2</v>
      </c>
      <c r="D145" s="641" t="s">
        <v>140</v>
      </c>
      <c r="E145" s="641" t="s">
        <v>36</v>
      </c>
      <c r="F145" s="641" t="s">
        <v>45</v>
      </c>
      <c r="G145" s="641">
        <f t="shared" ref="G145:G171" si="36">G144+1</f>
        <v>2</v>
      </c>
      <c r="H145" s="650" t="s">
        <v>978</v>
      </c>
      <c r="I145" s="440"/>
      <c r="J145" s="706"/>
    </row>
    <row r="146" spans="1:10" s="556" customFormat="1" ht="28.8" x14ac:dyDescent="0.3">
      <c r="A146" s="2535"/>
      <c r="B146" s="2538"/>
      <c r="C146" s="641" t="str">
        <f t="shared" si="35"/>
        <v>PAC3</v>
      </c>
      <c r="D146" s="641" t="s">
        <v>140</v>
      </c>
      <c r="E146" s="641" t="s">
        <v>36</v>
      </c>
      <c r="F146" s="641" t="s">
        <v>45</v>
      </c>
      <c r="G146" s="641">
        <f t="shared" si="36"/>
        <v>3</v>
      </c>
      <c r="H146" s="650" t="s">
        <v>979</v>
      </c>
      <c r="I146" s="440"/>
      <c r="J146" s="706"/>
    </row>
    <row r="147" spans="1:10" s="556" customFormat="1" x14ac:dyDescent="0.3">
      <c r="A147" s="2535"/>
      <c r="B147" s="2538"/>
      <c r="C147" s="641" t="str">
        <f t="shared" si="35"/>
        <v>PAC4</v>
      </c>
      <c r="D147" s="641" t="s">
        <v>140</v>
      </c>
      <c r="E147" s="641" t="s">
        <v>36</v>
      </c>
      <c r="F147" s="641" t="s">
        <v>45</v>
      </c>
      <c r="G147" s="641">
        <f t="shared" si="36"/>
        <v>4</v>
      </c>
      <c r="H147" s="650" t="s">
        <v>112</v>
      </c>
      <c r="I147" s="440"/>
      <c r="J147" s="706"/>
    </row>
    <row r="148" spans="1:10" s="556" customFormat="1" ht="15" thickBot="1" x14ac:dyDescent="0.35">
      <c r="A148" s="2536"/>
      <c r="B148" s="2539"/>
      <c r="C148" s="672" t="str">
        <f t="shared" si="35"/>
        <v>PAC5</v>
      </c>
      <c r="D148" s="672" t="s">
        <v>140</v>
      </c>
      <c r="E148" s="672" t="s">
        <v>36</v>
      </c>
      <c r="F148" s="672" t="s">
        <v>45</v>
      </c>
      <c r="G148" s="672">
        <f t="shared" si="36"/>
        <v>5</v>
      </c>
      <c r="H148" s="673" t="s">
        <v>980</v>
      </c>
      <c r="I148" s="440"/>
      <c r="J148" s="706"/>
    </row>
    <row r="149" spans="1:10" s="556" customFormat="1" ht="15" thickBot="1" x14ac:dyDescent="0.35">
      <c r="A149" s="651"/>
      <c r="B149" s="521"/>
      <c r="C149" s="645" t="s">
        <v>146</v>
      </c>
      <c r="D149" s="645"/>
      <c r="E149" s="645"/>
      <c r="F149" s="645" t="s">
        <v>331</v>
      </c>
      <c r="G149" s="645"/>
      <c r="H149" s="669">
        <v>0</v>
      </c>
      <c r="I149" s="440"/>
      <c r="J149" s="706"/>
    </row>
    <row r="150" spans="1:10" s="556" customFormat="1" ht="82.8" x14ac:dyDescent="0.3">
      <c r="A150" s="2540" t="s">
        <v>209</v>
      </c>
      <c r="B150" s="2543" t="s">
        <v>407</v>
      </c>
      <c r="C150" s="661" t="str">
        <f t="shared" ref="C150:C157" si="37">CONCATENATE(D150,E150,G150)</f>
        <v>FAA1</v>
      </c>
      <c r="D150" s="661" t="s">
        <v>157</v>
      </c>
      <c r="E150" s="662" t="s">
        <v>33</v>
      </c>
      <c r="F150" s="663" t="s">
        <v>80</v>
      </c>
      <c r="G150" s="661">
        <v>1</v>
      </c>
      <c r="H150" s="664" t="s">
        <v>792</v>
      </c>
      <c r="I150" s="440"/>
      <c r="J150" s="706"/>
    </row>
    <row r="151" spans="1:10" s="556" customFormat="1" ht="15" customHeight="1" x14ac:dyDescent="0.3">
      <c r="A151" s="2541"/>
      <c r="B151" s="2544"/>
      <c r="C151" s="642" t="str">
        <f t="shared" si="37"/>
        <v>FAA2</v>
      </c>
      <c r="D151" s="642" t="s">
        <v>157</v>
      </c>
      <c r="E151" s="643" t="s">
        <v>33</v>
      </c>
      <c r="F151" s="644" t="s">
        <v>80</v>
      </c>
      <c r="G151" s="642">
        <f t="shared" si="36"/>
        <v>2</v>
      </c>
      <c r="H151" s="652" t="s">
        <v>981</v>
      </c>
      <c r="I151" s="440"/>
      <c r="J151" s="706"/>
    </row>
    <row r="152" spans="1:10" s="556" customFormat="1" ht="27.6" x14ac:dyDescent="0.3">
      <c r="A152" s="2541"/>
      <c r="B152" s="2544"/>
      <c r="C152" s="642" t="str">
        <f t="shared" si="37"/>
        <v>FAA3</v>
      </c>
      <c r="D152" s="642" t="s">
        <v>157</v>
      </c>
      <c r="E152" s="643" t="s">
        <v>33</v>
      </c>
      <c r="F152" s="644" t="s">
        <v>80</v>
      </c>
      <c r="G152" s="642">
        <f t="shared" si="36"/>
        <v>3</v>
      </c>
      <c r="H152" s="652" t="s">
        <v>982</v>
      </c>
      <c r="I152" s="440"/>
      <c r="J152" s="706"/>
    </row>
    <row r="153" spans="1:10" s="556" customFormat="1" ht="15.6" x14ac:dyDescent="0.3">
      <c r="A153" s="2541"/>
      <c r="B153" s="2544"/>
      <c r="C153" s="642" t="str">
        <f t="shared" si="37"/>
        <v>FAA4</v>
      </c>
      <c r="D153" s="642" t="s">
        <v>157</v>
      </c>
      <c r="E153" s="643" t="s">
        <v>33</v>
      </c>
      <c r="F153" s="644" t="s">
        <v>80</v>
      </c>
      <c r="G153" s="642">
        <f t="shared" si="36"/>
        <v>4</v>
      </c>
      <c r="H153" s="652" t="s">
        <v>983</v>
      </c>
      <c r="I153" s="440"/>
      <c r="J153" s="706"/>
    </row>
    <row r="154" spans="1:10" s="556" customFormat="1" ht="15.6" x14ac:dyDescent="0.3">
      <c r="A154" s="2541"/>
      <c r="B154" s="2544"/>
      <c r="C154" s="642" t="str">
        <f t="shared" si="37"/>
        <v>FAB1</v>
      </c>
      <c r="D154" s="642" t="s">
        <v>157</v>
      </c>
      <c r="E154" s="643" t="s">
        <v>35</v>
      </c>
      <c r="F154" s="644" t="s">
        <v>84</v>
      </c>
      <c r="G154" s="642">
        <v>1</v>
      </c>
      <c r="H154" s="652" t="s">
        <v>81</v>
      </c>
      <c r="I154" s="440"/>
      <c r="J154" s="706"/>
    </row>
    <row r="155" spans="1:10" s="556" customFormat="1" ht="41.4" x14ac:dyDescent="0.3">
      <c r="A155" s="2541"/>
      <c r="B155" s="2544"/>
      <c r="C155" s="642" t="str">
        <f t="shared" si="37"/>
        <v>FAB2</v>
      </c>
      <c r="D155" s="642" t="s">
        <v>157</v>
      </c>
      <c r="E155" s="643" t="s">
        <v>35</v>
      </c>
      <c r="F155" s="644" t="s">
        <v>84</v>
      </c>
      <c r="G155" s="642">
        <f t="shared" si="36"/>
        <v>2</v>
      </c>
      <c r="H155" s="652" t="s">
        <v>984</v>
      </c>
      <c r="I155" s="440"/>
      <c r="J155" s="706"/>
    </row>
    <row r="156" spans="1:10" s="556" customFormat="1" ht="27.6" x14ac:dyDescent="0.3">
      <c r="A156" s="2541"/>
      <c r="B156" s="2544"/>
      <c r="C156" s="642" t="str">
        <f t="shared" si="37"/>
        <v>FAB3</v>
      </c>
      <c r="D156" s="642" t="s">
        <v>157</v>
      </c>
      <c r="E156" s="643" t="s">
        <v>35</v>
      </c>
      <c r="F156" s="644" t="s">
        <v>84</v>
      </c>
      <c r="G156" s="642">
        <f t="shared" si="36"/>
        <v>3</v>
      </c>
      <c r="H156" s="653" t="s">
        <v>985</v>
      </c>
      <c r="I156" s="440"/>
      <c r="J156" s="706"/>
    </row>
    <row r="157" spans="1:10" s="556" customFormat="1" ht="16.2" thickBot="1" x14ac:dyDescent="0.35">
      <c r="A157" s="2542"/>
      <c r="B157" s="2545"/>
      <c r="C157" s="665" t="str">
        <f t="shared" si="37"/>
        <v>FAB4</v>
      </c>
      <c r="D157" s="665" t="s">
        <v>157</v>
      </c>
      <c r="E157" s="666" t="s">
        <v>35</v>
      </c>
      <c r="F157" s="667" t="s">
        <v>84</v>
      </c>
      <c r="G157" s="665">
        <f t="shared" si="36"/>
        <v>4</v>
      </c>
      <c r="H157" s="668" t="s">
        <v>83</v>
      </c>
      <c r="I157" s="440"/>
      <c r="J157" s="706"/>
    </row>
    <row r="158" spans="1:10" s="556" customFormat="1" x14ac:dyDescent="0.3">
      <c r="A158" s="2522" t="s">
        <v>249</v>
      </c>
      <c r="B158" s="2525" t="s">
        <v>332</v>
      </c>
      <c r="C158" s="659" t="str">
        <f t="shared" ref="C158:C171" si="38">CONCATENATE(D158,E158,G158)</f>
        <v>IAA1</v>
      </c>
      <c r="D158" s="659" t="s">
        <v>151</v>
      </c>
      <c r="E158" s="659" t="s">
        <v>33</v>
      </c>
      <c r="F158" s="659" t="s">
        <v>150</v>
      </c>
      <c r="G158" s="659">
        <v>1</v>
      </c>
      <c r="H158" s="660" t="s">
        <v>46</v>
      </c>
      <c r="I158" s="440"/>
      <c r="J158" s="706"/>
    </row>
    <row r="159" spans="1:10" s="556" customFormat="1" ht="27.6" x14ac:dyDescent="0.3">
      <c r="A159" s="2523"/>
      <c r="B159" s="2526"/>
      <c r="C159" s="638" t="str">
        <f t="shared" si="38"/>
        <v>IAA2</v>
      </c>
      <c r="D159" s="638" t="s">
        <v>151</v>
      </c>
      <c r="E159" s="638" t="s">
        <v>33</v>
      </c>
      <c r="F159" s="638" t="s">
        <v>150</v>
      </c>
      <c r="G159" s="638">
        <f t="shared" si="36"/>
        <v>2</v>
      </c>
      <c r="H159" s="654" t="s">
        <v>148</v>
      </c>
      <c r="I159" s="440"/>
      <c r="J159" s="706"/>
    </row>
    <row r="160" spans="1:10" s="556" customFormat="1" x14ac:dyDescent="0.3">
      <c r="A160" s="2523"/>
      <c r="B160" s="2526"/>
      <c r="C160" s="638" t="str">
        <f t="shared" si="38"/>
        <v>IAA3</v>
      </c>
      <c r="D160" s="638" t="s">
        <v>151</v>
      </c>
      <c r="E160" s="638" t="s">
        <v>33</v>
      </c>
      <c r="F160" s="638" t="s">
        <v>150</v>
      </c>
      <c r="G160" s="638">
        <f t="shared" si="36"/>
        <v>3</v>
      </c>
      <c r="H160" s="654" t="s">
        <v>149</v>
      </c>
      <c r="I160" s="440"/>
      <c r="J160" s="706"/>
    </row>
    <row r="161" spans="1:10" s="556" customFormat="1" ht="27.6" x14ac:dyDescent="0.3">
      <c r="A161" s="2523"/>
      <c r="B161" s="2526"/>
      <c r="C161" s="638" t="str">
        <f t="shared" si="38"/>
        <v>IAA4</v>
      </c>
      <c r="D161" s="638" t="s">
        <v>151</v>
      </c>
      <c r="E161" s="638" t="s">
        <v>33</v>
      </c>
      <c r="F161" s="638" t="s">
        <v>150</v>
      </c>
      <c r="G161" s="638">
        <f t="shared" si="36"/>
        <v>4</v>
      </c>
      <c r="H161" s="654" t="s">
        <v>646</v>
      </c>
      <c r="I161" s="440"/>
      <c r="J161" s="706"/>
    </row>
    <row r="162" spans="1:10" s="556" customFormat="1" ht="27.6" x14ac:dyDescent="0.3">
      <c r="A162" s="2523"/>
      <c r="B162" s="2526"/>
      <c r="C162" s="638" t="str">
        <f t="shared" si="38"/>
        <v>IAB1</v>
      </c>
      <c r="D162" s="638" t="s">
        <v>151</v>
      </c>
      <c r="E162" s="638" t="s">
        <v>35</v>
      </c>
      <c r="F162" s="638" t="s">
        <v>86</v>
      </c>
      <c r="G162" s="638">
        <v>1</v>
      </c>
      <c r="H162" s="655" t="s">
        <v>986</v>
      </c>
      <c r="I162" s="440"/>
      <c r="J162" s="706"/>
    </row>
    <row r="163" spans="1:10" s="556" customFormat="1" ht="41.4" x14ac:dyDescent="0.3">
      <c r="A163" s="2523"/>
      <c r="B163" s="2526"/>
      <c r="C163" s="638" t="str">
        <f t="shared" si="38"/>
        <v>IAB2</v>
      </c>
      <c r="D163" s="638" t="s">
        <v>151</v>
      </c>
      <c r="E163" s="638" t="s">
        <v>35</v>
      </c>
      <c r="F163" s="638" t="s">
        <v>86</v>
      </c>
      <c r="G163" s="638">
        <f t="shared" si="36"/>
        <v>2</v>
      </c>
      <c r="H163" s="655" t="s">
        <v>806</v>
      </c>
      <c r="I163" s="440"/>
      <c r="J163" s="706"/>
    </row>
    <row r="164" spans="1:10" s="556" customFormat="1" ht="27.6" x14ac:dyDescent="0.3">
      <c r="A164" s="2523"/>
      <c r="B164" s="2526"/>
      <c r="C164" s="638" t="str">
        <f t="shared" si="38"/>
        <v>IAB3</v>
      </c>
      <c r="D164" s="638" t="s">
        <v>151</v>
      </c>
      <c r="E164" s="638" t="s">
        <v>35</v>
      </c>
      <c r="F164" s="638" t="s">
        <v>86</v>
      </c>
      <c r="G164" s="638">
        <f t="shared" si="36"/>
        <v>3</v>
      </c>
      <c r="H164" s="655" t="s">
        <v>87</v>
      </c>
      <c r="I164" s="440"/>
      <c r="J164" s="706"/>
    </row>
    <row r="165" spans="1:10" s="556" customFormat="1" ht="27.6" x14ac:dyDescent="0.3">
      <c r="A165" s="2523"/>
      <c r="B165" s="2526"/>
      <c r="C165" s="638" t="str">
        <f t="shared" si="38"/>
        <v>IAB4</v>
      </c>
      <c r="D165" s="638" t="s">
        <v>151</v>
      </c>
      <c r="E165" s="638" t="s">
        <v>35</v>
      </c>
      <c r="F165" s="638" t="s">
        <v>86</v>
      </c>
      <c r="G165" s="638">
        <f t="shared" si="36"/>
        <v>4</v>
      </c>
      <c r="H165" s="655" t="s">
        <v>807</v>
      </c>
      <c r="I165" s="440"/>
      <c r="J165" s="706"/>
    </row>
    <row r="166" spans="1:10" s="556" customFormat="1" x14ac:dyDescent="0.3">
      <c r="A166" s="2523"/>
      <c r="B166" s="2526"/>
      <c r="C166" s="638" t="str">
        <f t="shared" si="38"/>
        <v>IAB5</v>
      </c>
      <c r="D166" s="638" t="s">
        <v>151</v>
      </c>
      <c r="E166" s="638" t="s">
        <v>35</v>
      </c>
      <c r="F166" s="638" t="s">
        <v>86</v>
      </c>
      <c r="G166" s="638">
        <f t="shared" si="36"/>
        <v>5</v>
      </c>
      <c r="H166" s="655" t="s">
        <v>88</v>
      </c>
      <c r="I166" s="440"/>
      <c r="J166" s="706"/>
    </row>
    <row r="167" spans="1:10" s="556" customFormat="1" ht="27.6" x14ac:dyDescent="0.3">
      <c r="A167" s="2523"/>
      <c r="B167" s="2526"/>
      <c r="C167" s="638" t="str">
        <f t="shared" si="38"/>
        <v>IAC1</v>
      </c>
      <c r="D167" s="638" t="s">
        <v>151</v>
      </c>
      <c r="E167" s="638" t="s">
        <v>36</v>
      </c>
      <c r="F167" s="638" t="s">
        <v>89</v>
      </c>
      <c r="G167" s="638">
        <v>1</v>
      </c>
      <c r="H167" s="654" t="s">
        <v>987</v>
      </c>
      <c r="I167" s="440"/>
      <c r="J167" s="706"/>
    </row>
    <row r="168" spans="1:10" s="556" customFormat="1" ht="27.6" x14ac:dyDescent="0.3">
      <c r="A168" s="2523"/>
      <c r="B168" s="2526"/>
      <c r="C168" s="638" t="str">
        <f t="shared" si="38"/>
        <v>IAC2</v>
      </c>
      <c r="D168" s="638" t="s">
        <v>151</v>
      </c>
      <c r="E168" s="638" t="s">
        <v>36</v>
      </c>
      <c r="F168" s="638" t="s">
        <v>89</v>
      </c>
      <c r="G168" s="638">
        <f t="shared" si="36"/>
        <v>2</v>
      </c>
      <c r="H168" s="654" t="s">
        <v>988</v>
      </c>
      <c r="I168" s="440"/>
      <c r="J168" s="706"/>
    </row>
    <row r="169" spans="1:10" s="556" customFormat="1" x14ac:dyDescent="0.3">
      <c r="A169" s="2523"/>
      <c r="B169" s="2526"/>
      <c r="C169" s="638" t="str">
        <f t="shared" si="38"/>
        <v>IAC3</v>
      </c>
      <c r="D169" s="638" t="s">
        <v>151</v>
      </c>
      <c r="E169" s="638" t="s">
        <v>36</v>
      </c>
      <c r="F169" s="638" t="s">
        <v>89</v>
      </c>
      <c r="G169" s="638">
        <f t="shared" si="36"/>
        <v>3</v>
      </c>
      <c r="H169" s="656" t="s">
        <v>808</v>
      </c>
      <c r="I169" s="440"/>
      <c r="J169" s="706"/>
    </row>
    <row r="170" spans="1:10" s="556" customFormat="1" ht="27.6" x14ac:dyDescent="0.3">
      <c r="A170" s="2523"/>
      <c r="B170" s="2526"/>
      <c r="C170" s="638" t="str">
        <f t="shared" si="38"/>
        <v>IAC4</v>
      </c>
      <c r="D170" s="638" t="s">
        <v>151</v>
      </c>
      <c r="E170" s="638" t="s">
        <v>36</v>
      </c>
      <c r="F170" s="638" t="s">
        <v>89</v>
      </c>
      <c r="G170" s="638">
        <f t="shared" si="36"/>
        <v>4</v>
      </c>
      <c r="H170" s="656" t="s">
        <v>626</v>
      </c>
      <c r="I170" s="440"/>
      <c r="J170" s="706"/>
    </row>
    <row r="171" spans="1:10" s="556" customFormat="1" ht="28.2" thickBot="1" x14ac:dyDescent="0.35">
      <c r="A171" s="2524"/>
      <c r="B171" s="2527"/>
      <c r="C171" s="657" t="str">
        <f t="shared" si="38"/>
        <v>IAC5</v>
      </c>
      <c r="D171" s="657" t="s">
        <v>151</v>
      </c>
      <c r="E171" s="657" t="s">
        <v>36</v>
      </c>
      <c r="F171" s="657" t="s">
        <v>89</v>
      </c>
      <c r="G171" s="657">
        <f t="shared" si="36"/>
        <v>5</v>
      </c>
      <c r="H171" s="658" t="s">
        <v>989</v>
      </c>
      <c r="I171" s="440"/>
      <c r="J171" s="706"/>
    </row>
    <row r="172" spans="1:10" s="556" customFormat="1" x14ac:dyDescent="0.3">
      <c r="A172" s="830" t="s">
        <v>457</v>
      </c>
      <c r="B172" s="832"/>
      <c r="C172" s="832"/>
      <c r="D172" s="832"/>
      <c r="E172" s="832"/>
      <c r="F172" s="832"/>
      <c r="G172" s="832"/>
      <c r="H172" s="832" t="s">
        <v>458</v>
      </c>
      <c r="I172" s="440"/>
      <c r="J172" s="706"/>
    </row>
    <row r="173" spans="1:10" s="556" customFormat="1" x14ac:dyDescent="0.3">
      <c r="A173" s="832"/>
      <c r="B173" s="832"/>
      <c r="C173" s="832"/>
      <c r="D173" s="832"/>
      <c r="E173" s="832"/>
      <c r="F173" s="832"/>
      <c r="G173" s="832"/>
      <c r="H173" s="832" t="s">
        <v>990</v>
      </c>
      <c r="I173" s="440"/>
      <c r="J173" s="706"/>
    </row>
    <row r="174" spans="1:10" s="556" customFormat="1" x14ac:dyDescent="0.3">
      <c r="A174" s="832"/>
      <c r="B174" s="832"/>
      <c r="C174" s="832"/>
      <c r="D174" s="832"/>
      <c r="E174" s="832"/>
      <c r="F174" s="832"/>
      <c r="G174" s="832"/>
      <c r="H174" s="832" t="s">
        <v>991</v>
      </c>
      <c r="I174" s="440"/>
      <c r="J174" s="706"/>
    </row>
    <row r="175" spans="1:10" s="556" customFormat="1" x14ac:dyDescent="0.3">
      <c r="A175" s="832"/>
      <c r="B175" s="832"/>
      <c r="C175" s="832"/>
      <c r="D175" s="832"/>
      <c r="E175" s="832"/>
      <c r="F175" s="832"/>
      <c r="G175" s="832"/>
      <c r="H175" s="832" t="s">
        <v>992</v>
      </c>
      <c r="I175" s="440"/>
      <c r="J175" s="706"/>
    </row>
    <row r="176" spans="1:10" s="556" customFormat="1" x14ac:dyDescent="0.3">
      <c r="A176" s="832"/>
      <c r="B176" s="832"/>
      <c r="C176" s="832"/>
      <c r="D176" s="832"/>
      <c r="E176" s="832"/>
      <c r="F176" s="832"/>
      <c r="G176" s="832"/>
      <c r="H176" s="832" t="s">
        <v>993</v>
      </c>
      <c r="I176" s="440"/>
      <c r="J176" s="706"/>
    </row>
    <row r="177" spans="1:10" s="556" customFormat="1" x14ac:dyDescent="0.3">
      <c r="A177" s="440"/>
      <c r="B177" s="440"/>
      <c r="C177" s="440"/>
      <c r="D177" s="440"/>
      <c r="E177" s="440"/>
      <c r="F177" s="440"/>
      <c r="G177" s="440"/>
      <c r="H177" s="440"/>
      <c r="I177" s="440"/>
      <c r="J177" s="706"/>
    </row>
    <row r="178" spans="1:10" s="556" customFormat="1" x14ac:dyDescent="0.3">
      <c r="A178" s="440"/>
      <c r="B178" s="440"/>
      <c r="C178" s="440"/>
      <c r="D178" s="440"/>
      <c r="E178" s="440"/>
      <c r="F178" s="440"/>
      <c r="G178" s="440"/>
      <c r="H178" s="440"/>
      <c r="I178" s="440"/>
      <c r="J178" s="706"/>
    </row>
    <row r="179" spans="1:10" s="556" customFormat="1" x14ac:dyDescent="0.3">
      <c r="A179" s="440"/>
      <c r="B179" s="440"/>
      <c r="C179" s="440"/>
      <c r="D179" s="440"/>
      <c r="E179" s="440"/>
      <c r="F179" s="440"/>
      <c r="G179" s="440"/>
      <c r="H179" s="440"/>
      <c r="I179" s="440"/>
      <c r="J179" s="706"/>
    </row>
    <row r="180" spans="1:10" s="556" customFormat="1" x14ac:dyDescent="0.3">
      <c r="A180" s="440"/>
      <c r="B180" s="440"/>
      <c r="C180" s="440"/>
      <c r="D180" s="440"/>
      <c r="E180" s="440"/>
      <c r="F180" s="440"/>
      <c r="G180" s="440"/>
      <c r="H180" s="440"/>
      <c r="I180" s="440"/>
      <c r="J180" s="706"/>
    </row>
    <row r="181" spans="1:10" s="556" customFormat="1" x14ac:dyDescent="0.3">
      <c r="A181" s="440"/>
      <c r="B181" s="440"/>
      <c r="C181" s="440"/>
      <c r="D181" s="440"/>
      <c r="E181" s="440"/>
      <c r="F181" s="440"/>
      <c r="G181" s="440"/>
      <c r="H181" s="440"/>
      <c r="I181" s="440"/>
      <c r="J181" s="706"/>
    </row>
    <row r="182" spans="1:10" s="556" customFormat="1" x14ac:dyDescent="0.3">
      <c r="A182" s="440"/>
      <c r="B182" s="440"/>
      <c r="C182" s="440"/>
      <c r="D182" s="440"/>
      <c r="E182" s="440"/>
      <c r="F182" s="440"/>
      <c r="G182" s="440"/>
      <c r="H182" s="440"/>
      <c r="I182" s="440"/>
      <c r="J182" s="706"/>
    </row>
    <row r="183" spans="1:10" s="556" customFormat="1" x14ac:dyDescent="0.3">
      <c r="A183" s="440"/>
      <c r="B183" s="440"/>
      <c r="C183" s="440"/>
      <c r="D183" s="440"/>
      <c r="E183" s="440"/>
      <c r="F183" s="440"/>
      <c r="G183" s="440"/>
      <c r="H183" s="440"/>
      <c r="I183" s="440"/>
      <c r="J183" s="706"/>
    </row>
    <row r="184" spans="1:10" s="556" customFormat="1" x14ac:dyDescent="0.3">
      <c r="A184" s="440"/>
      <c r="B184" s="440"/>
      <c r="C184" s="440"/>
      <c r="D184" s="440"/>
      <c r="E184" s="440"/>
      <c r="F184" s="440"/>
      <c r="G184" s="440"/>
      <c r="H184" s="440"/>
      <c r="I184" s="440"/>
      <c r="J184" s="706"/>
    </row>
    <row r="185" spans="1:10" s="556" customFormat="1" x14ac:dyDescent="0.3">
      <c r="A185" s="440"/>
      <c r="B185" s="440"/>
      <c r="C185" s="440"/>
      <c r="D185" s="440"/>
      <c r="E185" s="440"/>
      <c r="F185" s="440"/>
      <c r="G185" s="440"/>
      <c r="H185" s="440"/>
      <c r="I185" s="440"/>
      <c r="J185" s="706"/>
    </row>
    <row r="186" spans="1:10" s="556" customFormat="1" x14ac:dyDescent="0.3">
      <c r="A186" s="440"/>
      <c r="B186" s="440"/>
      <c r="C186" s="440"/>
      <c r="D186" s="440"/>
      <c r="E186" s="440"/>
      <c r="F186" s="440"/>
      <c r="G186" s="440"/>
      <c r="H186" s="440"/>
      <c r="I186" s="440"/>
      <c r="J186" s="706"/>
    </row>
    <row r="187" spans="1:10" s="556" customFormat="1" x14ac:dyDescent="0.3">
      <c r="A187" s="440"/>
      <c r="B187" s="440"/>
      <c r="C187" s="440"/>
      <c r="D187" s="440"/>
      <c r="E187" s="440"/>
      <c r="F187" s="440"/>
      <c r="G187" s="440"/>
      <c r="H187" s="440"/>
      <c r="I187" s="440"/>
      <c r="J187" s="706"/>
    </row>
    <row r="188" spans="1:10" s="556" customFormat="1" x14ac:dyDescent="0.3">
      <c r="A188" s="440"/>
      <c r="B188" s="440"/>
      <c r="C188" s="440"/>
      <c r="D188" s="440"/>
      <c r="E188" s="440"/>
      <c r="F188" s="440"/>
      <c r="G188" s="440"/>
      <c r="H188" s="440"/>
      <c r="I188" s="440"/>
      <c r="J188" s="706"/>
    </row>
    <row r="189" spans="1:10" s="556" customFormat="1" x14ac:dyDescent="0.3">
      <c r="A189" s="440"/>
      <c r="B189" s="440"/>
      <c r="C189" s="440"/>
      <c r="D189" s="440"/>
      <c r="E189" s="440"/>
      <c r="F189" s="440"/>
      <c r="G189" s="440"/>
      <c r="H189" s="440"/>
      <c r="I189" s="440"/>
      <c r="J189" s="706"/>
    </row>
    <row r="190" spans="1:10" s="556" customFormat="1" x14ac:dyDescent="0.3">
      <c r="A190" s="440"/>
      <c r="B190" s="440"/>
      <c r="C190" s="440"/>
      <c r="D190" s="440"/>
      <c r="E190" s="440"/>
      <c r="F190" s="440"/>
      <c r="G190" s="440"/>
      <c r="H190" s="440"/>
      <c r="I190" s="440"/>
      <c r="J190" s="706"/>
    </row>
    <row r="191" spans="1:10" s="556" customFormat="1" x14ac:dyDescent="0.3">
      <c r="A191" s="440"/>
      <c r="B191" s="440"/>
      <c r="C191" s="440"/>
      <c r="D191" s="440"/>
      <c r="E191" s="440"/>
      <c r="F191" s="440"/>
      <c r="G191" s="440"/>
      <c r="H191" s="440"/>
      <c r="I191" s="440"/>
      <c r="J191" s="706"/>
    </row>
    <row r="192" spans="1:10" s="556" customFormat="1" x14ac:dyDescent="0.3">
      <c r="A192" s="440"/>
      <c r="B192" s="440"/>
      <c r="C192" s="440"/>
      <c r="D192" s="440"/>
      <c r="E192" s="440"/>
      <c r="F192" s="440"/>
      <c r="G192" s="440"/>
      <c r="H192" s="440"/>
      <c r="I192" s="440"/>
      <c r="J192" s="706"/>
    </row>
    <row r="193" spans="1:11" s="556" customFormat="1" x14ac:dyDescent="0.3">
      <c r="A193" s="440"/>
      <c r="B193" s="440"/>
      <c r="C193" s="440"/>
      <c r="D193" s="440"/>
      <c r="E193" s="440"/>
      <c r="F193" s="440"/>
      <c r="G193" s="440"/>
      <c r="H193" s="440"/>
      <c r="I193" s="440"/>
      <c r="J193" s="706"/>
    </row>
    <row r="194" spans="1:11" s="556" customFormat="1" x14ac:dyDescent="0.3">
      <c r="A194" s="440"/>
      <c r="B194" s="440"/>
      <c r="C194" s="440"/>
      <c r="D194" s="440"/>
      <c r="E194" s="440"/>
      <c r="F194" s="440"/>
      <c r="G194" s="440"/>
      <c r="H194" s="440"/>
      <c r="I194" s="440"/>
      <c r="J194" s="706"/>
    </row>
    <row r="195" spans="1:11" s="556" customFormat="1" x14ac:dyDescent="0.3">
      <c r="A195" s="439"/>
      <c r="B195" s="439"/>
      <c r="C195" s="439"/>
      <c r="D195" s="439"/>
      <c r="E195" s="439"/>
      <c r="F195" s="439"/>
      <c r="G195" s="439"/>
      <c r="H195" s="439"/>
      <c r="I195" s="439"/>
      <c r="J195" s="439"/>
    </row>
    <row r="196" spans="1:11" s="556" customFormat="1" x14ac:dyDescent="0.3">
      <c r="A196" s="440"/>
      <c r="B196" s="440"/>
      <c r="C196" s="440" t="s">
        <v>115</v>
      </c>
      <c r="D196" s="440"/>
      <c r="E196" s="440"/>
      <c r="F196" s="440"/>
      <c r="G196" s="440"/>
      <c r="H196" s="440"/>
      <c r="I196" s="440"/>
      <c r="J196" s="440"/>
    </row>
    <row r="198" spans="1:11" x14ac:dyDescent="0.3">
      <c r="D198" s="696"/>
      <c r="E198" s="696"/>
      <c r="F198" s="696"/>
      <c r="G198" s="696"/>
      <c r="H198" s="696"/>
      <c r="I198" s="696"/>
      <c r="J198" s="696"/>
      <c r="K198" s="1139"/>
    </row>
    <row r="199" spans="1:11" x14ac:dyDescent="0.3">
      <c r="D199" s="524"/>
      <c r="E199" s="524"/>
      <c r="F199" s="524"/>
      <c r="G199" s="700"/>
      <c r="H199" s="701"/>
      <c r="I199" s="700"/>
      <c r="J199" s="700"/>
      <c r="K199" s="1140"/>
    </row>
    <row r="200" spans="1:11" x14ac:dyDescent="0.3">
      <c r="D200" s="451"/>
      <c r="E200" s="697"/>
      <c r="F200" s="698"/>
      <c r="G200" s="699"/>
      <c r="H200" s="699"/>
      <c r="I200" s="699"/>
      <c r="J200" s="699"/>
      <c r="K200" s="1141"/>
    </row>
    <row r="201" spans="1:11" x14ac:dyDescent="0.3">
      <c r="D201" s="451"/>
      <c r="E201" s="697"/>
      <c r="F201" s="698"/>
      <c r="G201" s="699"/>
      <c r="H201" s="699"/>
      <c r="I201" s="699"/>
      <c r="J201" s="699"/>
      <c r="K201" s="1141"/>
    </row>
    <row r="202" spans="1:11" x14ac:dyDescent="0.3">
      <c r="D202" s="451"/>
      <c r="E202" s="697"/>
      <c r="F202" s="698"/>
      <c r="G202" s="699"/>
      <c r="H202" s="699"/>
      <c r="I202" s="699"/>
      <c r="J202" s="699"/>
      <c r="K202" s="1141"/>
    </row>
    <row r="203" spans="1:11" x14ac:dyDescent="0.3">
      <c r="D203" s="451"/>
      <c r="E203" s="697"/>
      <c r="F203" s="698"/>
      <c r="G203" s="699"/>
      <c r="H203" s="699"/>
      <c r="I203" s="699"/>
      <c r="J203" s="699"/>
      <c r="K203" s="1141"/>
    </row>
    <row r="204" spans="1:11" x14ac:dyDescent="0.3">
      <c r="D204" s="524"/>
      <c r="E204" s="524"/>
      <c r="F204" s="524"/>
      <c r="G204" s="700"/>
      <c r="H204" s="701"/>
      <c r="I204" s="700"/>
      <c r="J204" s="700"/>
      <c r="K204" s="1140"/>
    </row>
    <row r="205" spans="1:11" x14ac:dyDescent="0.3">
      <c r="D205" s="451"/>
      <c r="E205" s="702"/>
      <c r="F205" s="451"/>
      <c r="G205" s="699"/>
      <c r="H205" s="699"/>
      <c r="I205" s="699"/>
      <c r="J205" s="699"/>
      <c r="K205" s="1141"/>
    </row>
    <row r="206" spans="1:11" x14ac:dyDescent="0.3">
      <c r="D206" s="451"/>
      <c r="E206" s="702"/>
      <c r="F206" s="451"/>
      <c r="G206" s="699"/>
      <c r="H206" s="699"/>
      <c r="I206" s="699"/>
      <c r="J206" s="699"/>
      <c r="K206" s="1141"/>
    </row>
    <row r="207" spans="1:11" x14ac:dyDescent="0.3">
      <c r="D207" s="451"/>
      <c r="E207" s="702"/>
      <c r="F207" s="451"/>
      <c r="G207" s="699"/>
      <c r="H207" s="699"/>
      <c r="I207" s="699"/>
      <c r="J207" s="699"/>
      <c r="K207" s="1141"/>
    </row>
    <row r="208" spans="1:11" x14ac:dyDescent="0.3">
      <c r="D208" s="451"/>
      <c r="E208" s="702"/>
      <c r="F208" s="451"/>
      <c r="G208" s="699"/>
      <c r="H208" s="699"/>
      <c r="I208" s="699"/>
      <c r="J208" s="699"/>
      <c r="K208" s="1141"/>
    </row>
    <row r="209" spans="4:11" x14ac:dyDescent="0.3">
      <c r="D209" s="451"/>
      <c r="E209" s="702"/>
      <c r="F209" s="451"/>
      <c r="G209" s="699"/>
      <c r="H209" s="699"/>
      <c r="I209" s="699"/>
      <c r="J209" s="699"/>
      <c r="K209" s="1141"/>
    </row>
    <row r="210" spans="4:11" x14ac:dyDescent="0.3">
      <c r="D210" s="451"/>
      <c r="E210" s="702"/>
      <c r="F210" s="451"/>
      <c r="G210" s="699"/>
      <c r="H210" s="699"/>
      <c r="I210" s="699"/>
      <c r="J210" s="699"/>
      <c r="K210" s="1141"/>
    </row>
    <row r="211" spans="4:11" x14ac:dyDescent="0.3">
      <c r="D211" s="524"/>
      <c r="E211" s="524"/>
      <c r="F211" s="524"/>
      <c r="G211" s="700"/>
      <c r="H211" s="700"/>
      <c r="I211" s="700"/>
      <c r="J211" s="700"/>
      <c r="K211" s="1140"/>
    </row>
    <row r="212" spans="4:11" x14ac:dyDescent="0.3">
      <c r="E212" s="702"/>
      <c r="F212" s="451"/>
    </row>
    <row r="213" spans="4:11" x14ac:dyDescent="0.3">
      <c r="E213" s="702"/>
      <c r="F213" s="451"/>
      <c r="G213" s="703"/>
      <c r="H213" s="703"/>
      <c r="I213" s="703"/>
      <c r="J213" s="703"/>
      <c r="K213" s="1142"/>
    </row>
    <row r="214" spans="4:11" x14ac:dyDescent="0.3">
      <c r="E214" s="702"/>
      <c r="F214" s="451"/>
      <c r="G214" s="451"/>
      <c r="H214" s="451"/>
      <c r="I214" s="451"/>
      <c r="J214" s="451"/>
      <c r="K214" s="1143"/>
    </row>
    <row r="215" spans="4:11" x14ac:dyDescent="0.3">
      <c r="D215" s="524"/>
      <c r="E215" s="524"/>
      <c r="F215" s="524"/>
      <c r="G215" s="700"/>
      <c r="H215" s="701"/>
      <c r="I215" s="700"/>
      <c r="J215" s="700"/>
      <c r="K215" s="1140"/>
    </row>
    <row r="216" spans="4:11" x14ac:dyDescent="0.3">
      <c r="E216" s="702"/>
      <c r="F216" s="451"/>
    </row>
    <row r="217" spans="4:11" x14ac:dyDescent="0.3">
      <c r="E217" s="702"/>
      <c r="F217" s="451"/>
    </row>
    <row r="218" spans="4:11" x14ac:dyDescent="0.3">
      <c r="D218" s="524"/>
      <c r="E218" s="524"/>
      <c r="F218" s="524"/>
      <c r="G218" s="524"/>
      <c r="H218" s="701"/>
      <c r="I218" s="524"/>
      <c r="J218" s="524"/>
      <c r="K218" s="1143"/>
    </row>
    <row r="219" spans="4:11" x14ac:dyDescent="0.3">
      <c r="E219" s="702"/>
      <c r="F219" s="451"/>
    </row>
    <row r="220" spans="4:11" x14ac:dyDescent="0.3">
      <c r="E220" s="702"/>
      <c r="F220" s="451"/>
    </row>
    <row r="221" spans="4:11" x14ac:dyDescent="0.3">
      <c r="E221" s="702"/>
      <c r="F221" s="451"/>
    </row>
  </sheetData>
  <sheetProtection password="DA20" sheet="1" objects="1" scenarios="1"/>
  <mergeCells count="13">
    <mergeCell ref="N39:N41"/>
    <mergeCell ref="A3:A14"/>
    <mergeCell ref="B3:B14"/>
    <mergeCell ref="A15:A75"/>
    <mergeCell ref="B15:B75"/>
    <mergeCell ref="A158:A171"/>
    <mergeCell ref="B158:B171"/>
    <mergeCell ref="A76:A135"/>
    <mergeCell ref="B76:B135"/>
    <mergeCell ref="A136:A148"/>
    <mergeCell ref="B136:B148"/>
    <mergeCell ref="A150:A157"/>
    <mergeCell ref="B150:B157"/>
  </mergeCells>
  <pageMargins left="0.7" right="0.7" top="0.75" bottom="0.75" header="0.3" footer="0.3"/>
  <pageSetup paperSize="9" fitToHeight="0" orientation="portrait" r:id="rId1"/>
  <ignoredErrors>
    <ignoredError sqref="P40:P43"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104</vt:i4>
      </vt:variant>
    </vt:vector>
  </HeadingPairs>
  <TitlesOfParts>
    <vt:vector size="117" baseType="lpstr">
      <vt:lpstr>Notes to Users</vt:lpstr>
      <vt:lpstr>INPUT SHEETS &gt;&gt;&gt;</vt:lpstr>
      <vt:lpstr>0.Basic Project Data</vt:lpstr>
      <vt:lpstr>I.Strategic Suitability</vt:lpstr>
      <vt:lpstr>II.Preliminary Feasibility</vt:lpstr>
      <vt:lpstr>III.Risk Assessment</vt:lpstr>
      <vt:lpstr>IV.PPP Suitability</vt:lpstr>
      <vt:lpstr>V.Fiscal Affordability</vt:lpstr>
      <vt:lpstr>VI.Institutional Capability</vt:lpstr>
      <vt:lpstr>OUTPUTS &gt;&gt;&gt;</vt:lpstr>
      <vt:lpstr>Dashboard</vt:lpstr>
      <vt:lpstr>Detailed Output Sheet</vt:lpstr>
      <vt:lpstr>Customization &gt;&gt;&gt;</vt:lpstr>
      <vt:lpstr>'IV.PPP Suitability'!Ability1</vt:lpstr>
      <vt:lpstr>Ability1</vt:lpstr>
      <vt:lpstr>'IV.PPP Suitability'!Ability2</vt:lpstr>
      <vt:lpstr>Ability2</vt:lpstr>
      <vt:lpstr>Ability3</vt:lpstr>
      <vt:lpstr>abilitya</vt:lpstr>
      <vt:lpstr>abilityb</vt:lpstr>
      <vt:lpstr>abilityc</vt:lpstr>
      <vt:lpstr>Admin</vt:lpstr>
      <vt:lpstr>Affordabilitb</vt:lpstr>
      <vt:lpstr>affordability</vt:lpstr>
      <vt:lpstr>Affordability1</vt:lpstr>
      <vt:lpstr>Affordability2</vt:lpstr>
      <vt:lpstr>Affordabilitya</vt:lpstr>
      <vt:lpstr>APW</vt:lpstr>
      <vt:lpstr>AR</vt:lpstr>
      <vt:lpstr>Basic_User_Input</vt:lpstr>
      <vt:lpstr>CR</vt:lpstr>
      <vt:lpstr>Dashboard</vt:lpstr>
      <vt:lpstr>DSCR</vt:lpstr>
      <vt:lpstr>DSCR2</vt:lpstr>
      <vt:lpstr>EIRR</vt:lpstr>
      <vt:lpstr>EN_CC</vt:lpstr>
      <vt:lpstr>EN_SS</vt:lpstr>
      <vt:lpstr>Feasibility1</vt:lpstr>
      <vt:lpstr>Feasibility2</vt:lpstr>
      <vt:lpstr>Feasibility3</vt:lpstr>
      <vt:lpstr>Feasibility4</vt:lpstr>
      <vt:lpstr>Feasibility5</vt:lpstr>
      <vt:lpstr>Feasibility6</vt:lpstr>
      <vt:lpstr>Feasibilitya</vt:lpstr>
      <vt:lpstr>Feasibilityb</vt:lpstr>
      <vt:lpstr>Feasibilityc</vt:lpstr>
      <vt:lpstr>Feasibilityd</vt:lpstr>
      <vt:lpstr>Feasibilitye</vt:lpstr>
      <vt:lpstr>Feasibilityf</vt:lpstr>
      <vt:lpstr>Forex</vt:lpstr>
      <vt:lpstr>Govt.Support</vt:lpstr>
      <vt:lpstr>Institutional1</vt:lpstr>
      <vt:lpstr>Institutional2</vt:lpstr>
      <vt:lpstr>Institutional3</vt:lpstr>
      <vt:lpstr>Institutionala</vt:lpstr>
      <vt:lpstr>InstitutionalAbilityb</vt:lpstr>
      <vt:lpstr>Institutionalb</vt:lpstr>
      <vt:lpstr>Institutionalc</vt:lpstr>
      <vt:lpstr>Landstatus</vt:lpstr>
      <vt:lpstr>Level5</vt:lpstr>
      <vt:lpstr>Level6</vt:lpstr>
      <vt:lpstr>NA</vt:lpstr>
      <vt:lpstr>Negative</vt:lpstr>
      <vt:lpstr>No</vt:lpstr>
      <vt:lpstr>PD_1</vt:lpstr>
      <vt:lpstr>PD_13</vt:lpstr>
      <vt:lpstr>PD_16</vt:lpstr>
      <vt:lpstr>PD_2</vt:lpstr>
      <vt:lpstr>PD_3</vt:lpstr>
      <vt:lpstr>PD_4</vt:lpstr>
      <vt:lpstr>PD_5</vt:lpstr>
      <vt:lpstr>PD_6</vt:lpstr>
      <vt:lpstr>PD_8</vt:lpstr>
      <vt:lpstr>PDB</vt:lpstr>
      <vt:lpstr>PIRR</vt:lpstr>
      <vt:lpstr>Positive</vt:lpstr>
      <vt:lpstr>PPD_3</vt:lpstr>
      <vt:lpstr>PPD_4</vt:lpstr>
      <vt:lpstr>ppd_5</vt:lpstr>
      <vt:lpstr>ppd_6</vt:lpstr>
      <vt:lpstr>ppd_7</vt:lpstr>
      <vt:lpstr>PR</vt:lpstr>
      <vt:lpstr>pre_1</vt:lpstr>
      <vt:lpstr>pre_2</vt:lpstr>
      <vt:lpstr>pre_3</vt:lpstr>
      <vt:lpstr>Prerequisites</vt:lpstr>
      <vt:lpstr>Dashboard!Print_Area</vt:lpstr>
      <vt:lpstr>Project_Profile</vt:lpstr>
      <vt:lpstr>Revenue_Profile</vt:lpstr>
      <vt:lpstr>Risk2</vt:lpstr>
      <vt:lpstr>Risk3</vt:lpstr>
      <vt:lpstr>Risk4</vt:lpstr>
      <vt:lpstr>Risk5</vt:lpstr>
      <vt:lpstr>risk6</vt:lpstr>
      <vt:lpstr>Risk7</vt:lpstr>
      <vt:lpstr>Risk8</vt:lpstr>
      <vt:lpstr>Riska</vt:lpstr>
      <vt:lpstr>Riskb</vt:lpstr>
      <vt:lpstr>Riskc</vt:lpstr>
      <vt:lpstr>Riskd</vt:lpstr>
      <vt:lpstr>Riske</vt:lpstr>
      <vt:lpstr>Riskf</vt:lpstr>
      <vt:lpstr>Riskg</vt:lpstr>
      <vt:lpstr>Riskh</vt:lpstr>
      <vt:lpstr>Skip</vt:lpstr>
      <vt:lpstr>Suitability1</vt:lpstr>
      <vt:lpstr>Suitability2</vt:lpstr>
      <vt:lpstr>Suitability3</vt:lpstr>
      <vt:lpstr>Suitability4</vt:lpstr>
      <vt:lpstr>SuitabilityA</vt:lpstr>
      <vt:lpstr>SuitabilityB</vt:lpstr>
      <vt:lpstr>SuitabilityC</vt:lpstr>
      <vt:lpstr>SuitabilityD</vt:lpstr>
      <vt:lpstr>Uncertain</vt:lpstr>
      <vt:lpstr>VFAa</vt:lpstr>
      <vt:lpstr>VFM</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2017-04-26T06:02:01Z</dcterms:created>
  <dcterms:modified xsi:type="dcterms:W3CDTF">2018-09-27T06:04:54Z</dcterms:modified>
</cp:coreProperties>
</file>